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Assets" sheetId="3" state="visible" r:id="rId3"/>
    <sheet xmlns:r="http://schemas.openxmlformats.org/officeDocument/2006/relationships" name="Readiness" sheetId="4" state="visible" r:id="rId4"/>
    <sheet xmlns:r="http://schemas.openxmlformats.org/officeDocument/2006/relationships" name="Resilience" sheetId="5" state="visible" r:id="rId5"/>
    <sheet xmlns:r="http://schemas.openxmlformats.org/officeDocument/2006/relationships" name="Model settings" sheetId="6" state="visible" r:id="rId6"/>
    <sheet xmlns:r="http://schemas.openxmlformats.org/officeDocument/2006/relationships" name="Results" sheetId="7" state="visible" r:id="rId7"/>
    <sheet xmlns:r="http://schemas.openxmlformats.org/officeDocument/2006/relationships" name="Exposure analysis" sheetId="8" state="visible" r:id="rId8"/>
    <sheet xmlns:r="http://schemas.openxmlformats.org/officeDocument/2006/relationships" name="Charts" sheetId="9" state="visible" r:id="rId9"/>
    <sheet xmlns:r="http://schemas.openxmlformats.org/officeDocument/2006/relationships" name="Recommendations" sheetId="10" state="visible" r:id="rId10"/>
    <sheet xmlns:r="http://schemas.openxmlformats.org/officeDocument/2006/relationships" name="Detection checklist" sheetId="11" state="visible" r:id="rId11"/>
    <sheet xmlns:r="http://schemas.openxmlformats.org/officeDocument/2006/relationships" name="Source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"/>
    <numFmt numFmtId="165" formatCode="&quot;$&quot;#,##0.00"/>
    <numFmt numFmtId="166" formatCode="0.##"/>
    <numFmt numFmtId="167" formatCode="0.0%"/>
    <numFmt numFmtId="168" formatCode="0.000"/>
    <numFmt numFmtId="169" formatCode="0.000%"/>
  </numFmts>
  <fonts count="5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164" fontId="0" fillId="2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1" fontId="0" fillId="2" borderId="0" pivotButton="0" quotePrefix="0" xfId="0"/>
    <xf numFmtId="3" fontId="0" fillId="2" borderId="0" pivotButton="0" quotePrefix="0" xfId="0"/>
    <xf numFmtId="165" fontId="0" fillId="2" borderId="0" pivotButton="0" quotePrefix="0" xfId="0"/>
    <xf numFmtId="0" fontId="4" fillId="3" borderId="0" pivotButton="0" quotePrefix="0" xfId="0"/>
    <xf numFmtId="166" fontId="0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7" fontId="0" fillId="2" borderId="0" pivotButton="0" quotePrefix="0" xfId="0"/>
    <xf numFmtId="2" fontId="0" fillId="2" borderId="0" pivotButton="0" quotePrefix="0" xfId="0"/>
    <xf numFmtId="168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 value vs exposure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'Exposure analysis'!B3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'Exposure analysis'!$A$4:$A$8</f>
            </numRef>
          </cat>
          <val>
            <numRef>
              <f>'Exposure analysis'!$B$4:$B$8</f>
            </numRef>
          </val>
        </ser>
        <ser>
          <idx val="1"/>
          <order val="1"/>
          <tx>
            <strRef>
              <f>'Exposure analysis'!C3</f>
            </strRef>
          </tx>
          <spPr>
            <a:ln xmlns:a="http://schemas.openxmlformats.org/drawingml/2006/main">
              <a:prstDash val="solid"/>
            </a:ln>
          </spPr>
          <cat>
            <numRef>
              <f>'Exposure analysis'!$A$4:$A$8</f>
            </numRef>
          </cat>
          <val>
            <numRef>
              <f>'Exposure analysis'!$C$4:$C$8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What one incident would cost (likely case)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'Results'!E24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'Results'!$D$25:$D$30</f>
            </numRef>
          </cat>
          <val>
            <numRef>
              <f>'Results'!$E$25:$E$30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5 gaps: annual loss saved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'Results'!C24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'Results'!$B$25:$B$29</f>
            </numRef>
          </cat>
          <val>
            <numRef>
              <f>'Results'!$C$25:$C$29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64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20</row>
      <rowOff>0</rowOff>
    </from>
    <ext cx="648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38</row>
      <rowOff>0</rowOff>
    </from>
    <ext cx="648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cyphrq.com/pillars/tools-protect/" TargetMode="External" Id="rId1"/><Relationship Type="http://schemas.openxmlformats.org/officeDocument/2006/relationships/hyperlink" Target="https://cyphrq.com/pillars/tools-protect/" TargetMode="External" Id="rId2"/><Relationship Type="http://schemas.openxmlformats.org/officeDocument/2006/relationships/hyperlink" Target="https://cyphrq.com/pillars/tools-protect/" TargetMode="External" Id="rId3"/><Relationship Type="http://schemas.openxmlformats.org/officeDocument/2006/relationships/hyperlink" Target="https://cyphrq.com/pillars/tools-detect/" TargetMode="External" Id="rId4"/><Relationship Type="http://schemas.openxmlformats.org/officeDocument/2006/relationships/hyperlink" Target="https://cyphrq.com/pillars/tools-protect/" TargetMode="External" Id="rId5"/><Relationship Type="http://schemas.openxmlformats.org/officeDocument/2006/relationships/hyperlink" Target="https://cyphrq.com/pillars/tools-identify/" TargetMode="External" Id="rId6"/><Relationship Type="http://schemas.openxmlformats.org/officeDocument/2006/relationships/hyperlink" Target="https://cyphrq.com/pillars/tools-protect/" TargetMode="External" Id="rId7"/><Relationship Type="http://schemas.openxmlformats.org/officeDocument/2006/relationships/hyperlink" Target="https://cyphrq.com/pillars/tools-protect/" TargetMode="External" Id="rId8"/><Relationship Type="http://schemas.openxmlformats.org/officeDocument/2006/relationships/hyperlink" Target="https://cyphrq.com/pillars/awareness/" TargetMode="External" Id="rId9"/><Relationship Type="http://schemas.openxmlformats.org/officeDocument/2006/relationships/hyperlink" Target="https://cyphrq.com/pillars/tools-respond/" TargetMode="External" Id="rId10"/><Relationship Type="http://schemas.openxmlformats.org/officeDocument/2006/relationships/hyperlink" Target="https://cyphrq.com/pillars/tools-respond/" TargetMode="External" Id="rId11"/><Relationship Type="http://schemas.openxmlformats.org/officeDocument/2006/relationships/hyperlink" Target="https://cyphrq.com/pillars/tools-respond/" TargetMode="External" Id="rId12"/><Relationship Type="http://schemas.openxmlformats.org/officeDocument/2006/relationships/hyperlink" Target="https://cyphrq.com/pillars/tools-respond/" TargetMode="External" Id="rId13"/><Relationship Type="http://schemas.openxmlformats.org/officeDocument/2006/relationships/hyperlink" Target="https://cyphrq.com/pillars/tools-detect/" TargetMode="External" Id="rId14"/><Relationship Type="http://schemas.openxmlformats.org/officeDocument/2006/relationships/hyperlink" Target="https://cyphrq.com/pillars/tools-protect/" TargetMode="External" Id="rId15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1.xml.rels><Relationships xmlns="http://schemas.openxmlformats.org/package/2006/relationships"><Relationship Type="http://schemas.openxmlformats.org/officeDocument/2006/relationships/hyperlink" Target="https://cyphrq.com/pillars/tools-identify/" TargetMode="External" Id="rId1"/><Relationship Type="http://schemas.openxmlformats.org/officeDocument/2006/relationships/hyperlink" Target="https://cyphrq.com/pillars/tools-identify/" TargetMode="External" Id="rId2"/><Relationship Type="http://schemas.openxmlformats.org/officeDocument/2006/relationships/hyperlink" Target="https://cyphrq.com/pillars/tools-identify/" TargetMode="External" Id="rId3"/><Relationship Type="http://schemas.openxmlformats.org/officeDocument/2006/relationships/hyperlink" Target="https://cyphrq.com/pillars/tools-identify/" TargetMode="External" Id="rId4"/><Relationship Type="http://schemas.openxmlformats.org/officeDocument/2006/relationships/hyperlink" Target="https://cyphrq.com/pillars/tools-protect/" TargetMode="External" Id="rId5"/><Relationship Type="http://schemas.openxmlformats.org/officeDocument/2006/relationships/hyperlink" Target="https://cyphrq.com/pillars/tools-protect/" TargetMode="External" Id="rId6"/><Relationship Type="http://schemas.openxmlformats.org/officeDocument/2006/relationships/hyperlink" Target="https://cyphrq.com/pillars/tools-protect/" TargetMode="External" Id="rId7"/><Relationship Type="http://schemas.openxmlformats.org/officeDocument/2006/relationships/hyperlink" Target="https://cyphrq.com/pillars/tools-protect/" TargetMode="External" Id="rId8"/><Relationship Type="http://schemas.openxmlformats.org/officeDocument/2006/relationships/hyperlink" Target="https://cyphrq.com/pillars/tools-protect/" TargetMode="External" Id="rId9"/><Relationship Type="http://schemas.openxmlformats.org/officeDocument/2006/relationships/hyperlink" Target="https://cyphrq.com/pillars/awareness/" TargetMode="External" Id="rId10"/><Relationship Type="http://schemas.openxmlformats.org/officeDocument/2006/relationships/hyperlink" Target="https://cyphrq.com/pillars/tools-detect/" TargetMode="External" Id="rId11"/><Relationship Type="http://schemas.openxmlformats.org/officeDocument/2006/relationships/hyperlink" Target="https://cyphrq.com/pillars/tools-detect/" TargetMode="External" Id="rId12"/><Relationship Type="http://schemas.openxmlformats.org/officeDocument/2006/relationships/hyperlink" Target="https://cyphrq.com/pillars/tools-detect/" TargetMode="External" Id="rId13"/><Relationship Type="http://schemas.openxmlformats.org/officeDocument/2006/relationships/hyperlink" Target="https://cyphrq.com/pillars/tools-respond/" TargetMode="External" Id="rId14"/><Relationship Type="http://schemas.openxmlformats.org/officeDocument/2006/relationships/hyperlink" Target="https://cyphrq.com/pillars/tools-respond/" TargetMode="External" Id="rId15"/><Relationship Type="http://schemas.openxmlformats.org/officeDocument/2006/relationships/hyperlink" Target="https://cyphrq.com/pillars/tools-respond/" TargetMode="External" Id="rId16"/><Relationship Type="http://schemas.openxmlformats.org/officeDocument/2006/relationships/hyperlink" Target="https://cyphrq.com/pillars/tools-respond/" TargetMode="External" Id="rId17"/><Relationship Type="http://schemas.openxmlformats.org/officeDocument/2006/relationships/hyperlink" Target="https://cyphrq.com/pillars/tools-respond/" TargetMode="External" Id="rId18"/><Relationship Type="http://schemas.openxmlformats.org/officeDocument/2006/relationships/hyperlink" Target="https://cyphrq.com/pillars/tools-respond/" TargetMode="External" Id="rId19"/></Relationships>
</file>

<file path=xl/worksheets/_rels/sheet12.xml.rels><Relationships xmlns="http://schemas.openxmlformats.org/package/2006/relationships"><Relationship Type="http://schemas.openxmlformats.org/officeDocument/2006/relationships/hyperlink" Target="https://www.cyentia.com/wp-content/uploads/2026/03/IRIS-2025.pdf" TargetMode="External" Id="rId1"/><Relationship Type="http://schemas.openxmlformats.org/officeDocument/2006/relationships/hyperlink" Target="https://www.verizon.com/business/resources/Te3/reports/2026-dbir-data-breach-investigations-report.pdf" TargetMode="External" Id="rId2"/><Relationship Type="http://schemas.openxmlformats.org/officeDocument/2006/relationships/hyperlink" Target="https://nvlpubs.nist.gov/nistpubs/ir/2025/NIST.IR.8286r1.pdf" TargetMode="External" Id="rId3"/><Relationship Type="http://schemas.openxmlformats.org/officeDocument/2006/relationships/hyperlink" Target="https://nvlpubs.nist.gov/nistpubs/ir/2020/NIST.IR.8286A-draft.pdf" TargetMode="External" Id="rId4"/><Relationship Type="http://schemas.openxmlformats.org/officeDocument/2006/relationships/hyperlink" Target="https://www.tmhcc.com/en-us/-/media/project/tokio-marine/tmhcc-us/documents/cplg_teorna-062026.pdf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CyphrQ breach value calculator</t>
        </is>
      </c>
    </row>
    <row r="2">
      <c r="A2" s="2" t="inlineStr">
        <is>
          <t>Version 1.2, 2026-10-25. Source: https://cyphrq.com/tools/breach-value/</t>
        </is>
      </c>
    </row>
    <row r="3">
      <c r="A3" s="2" t="inlineStr"/>
    </row>
    <row r="4">
      <c r="A4" s="2" t="inlineStr">
        <is>
          <t>Purpose: estimate what a data breach could cost your business, and which security gaps matter most.</t>
        </is>
      </c>
    </row>
    <row r="5">
      <c r="A5" s="2" t="inlineStr">
        <is>
          <t>How to use: 1) fill the shaded cells on Inputs; 2) list up to 5 critical assets on Assets; 3) answer Yes or No on Readiness; 4) optionally fill Resilience (recovery objectives, backups, continuity tests; per-asset RTO and RPO sit on Assets); 5) read Results, Exposure analysis, Charts and Recommendations. Model settings holds every multiplier and base rate; you can change them.</t>
        </is>
      </c>
    </row>
    <row r="6">
      <c r="A6" s="2" t="inlineStr">
        <is>
          <t>This file is pre-filled with a worked example (a mid-size manufacturer with weak controls). Replace the shaded cells with your own figures.</t>
        </is>
      </c>
    </row>
    <row r="7">
      <c r="A7" s="2" t="inlineStr">
        <is>
          <t>Method: expected loss = chance of an incident x size of the loss, with low, likely and high estimates averaged by the PERT formula (low + 4 x likely + high) / 6, as in NIST IR 8286.</t>
        </is>
      </c>
    </row>
    <row r="8">
      <c r="A8" s="2" t="inlineStr">
        <is>
          <t>Multipliers for each No answer are our assumptions, not insurer pricing. Nothing you type here is sent anywhere.</t>
        </is>
      </c>
    </row>
    <row r="9">
      <c r="A9" s="2" t="inlineStr"/>
    </row>
    <row r="10">
      <c r="A10" s="3" t="inlineStr">
        <is>
          <t>Estimates for planning and insurance conversations. Not insurance, legal or financial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70" customWidth="1" min="3" max="3"/>
  </cols>
  <sheetData>
    <row r="1">
      <c r="A1" s="4" t="inlineStr">
        <is>
          <t>Inputs (change the shaded cells)</t>
        </is>
      </c>
    </row>
    <row r="3">
      <c r="A3" t="inlineStr">
        <is>
          <t>Annual revenue (USD)</t>
        </is>
      </c>
      <c r="B3" s="5" t="n">
        <v>400000000</v>
      </c>
      <c r="C3" s="6" t="inlineStr">
        <is>
          <t>Picks the published loss range for firms your size.</t>
        </is>
      </c>
    </row>
    <row r="4">
      <c r="A4" t="inlineStr">
        <is>
          <t>Sector</t>
        </is>
      </c>
      <c r="B4" s="7" t="inlineStr">
        <is>
          <t>Manufacturing</t>
        </is>
      </c>
      <c r="C4" s="6" t="inlineStr">
        <is>
          <t>Pick from the list; "Other" uses the typical-firm rate.</t>
        </is>
      </c>
    </row>
    <row r="5">
      <c r="A5" t="inlineStr">
        <is>
          <t>Revenue per day that depends on IT (USD)</t>
        </is>
      </c>
      <c r="B5" s="5" t="n">
        <v>800000</v>
      </c>
      <c r="C5" s="6" t="inlineStr">
        <is>
          <t>What you lose each day systems are down.</t>
        </is>
      </c>
    </row>
    <row r="6">
      <c r="A6" t="inlineStr">
        <is>
          <t>Days to restore: low</t>
        </is>
      </c>
      <c r="B6" s="8" t="n">
        <v>3</v>
      </c>
      <c r="C6" s="6" t="inlineStr"/>
    </row>
    <row r="7">
      <c r="A7" t="inlineStr">
        <is>
          <t>Days to restore: likely</t>
        </is>
      </c>
      <c r="B7" s="8" t="n">
        <v>10</v>
      </c>
      <c r="C7" s="6" t="inlineStr"/>
    </row>
    <row r="8">
      <c r="A8" t="inlineStr">
        <is>
          <t>Days to restore: high</t>
        </is>
      </c>
      <c r="B8" s="8" t="n">
        <v>30</v>
      </c>
      <c r="C8" s="6" t="inlineStr"/>
    </row>
    <row r="9">
      <c r="A9" t="inlineStr">
        <is>
          <t>Personal records held</t>
        </is>
      </c>
      <c r="B9" s="9" t="n">
        <v>50000</v>
      </c>
      <c r="C9" s="6" t="inlineStr">
        <is>
          <t>Records you would have to notify people about.</t>
        </is>
      </c>
    </row>
    <row r="10">
      <c r="A10" t="inlineStr">
        <is>
          <t>Cost per record (USD)</t>
        </is>
      </c>
      <c r="B10" s="10" t="n">
        <v>3</v>
      </c>
      <c r="C10" s="6" t="inlineStr">
        <is>
          <t>No current public per-record figure; enter your own estimate.</t>
        </is>
      </c>
    </row>
    <row r="11">
      <c r="A11" t="inlineStr">
        <is>
          <t>Response cost: low (USD)</t>
        </is>
      </c>
      <c r="B11" s="5" t="n">
        <v>200000</v>
      </c>
      <c r="C11" s="6" t="inlineStr">
        <is>
          <t>Forensics, legal, communications.</t>
        </is>
      </c>
    </row>
    <row r="12">
      <c r="A12" t="inlineStr">
        <is>
          <t>Response cost: likely (USD)</t>
        </is>
      </c>
      <c r="B12" s="5" t="n">
        <v>600000</v>
      </c>
      <c r="C12" s="6" t="inlineStr"/>
    </row>
    <row r="13">
      <c r="A13" t="inlineStr">
        <is>
          <t>Response cost: high (USD)</t>
        </is>
      </c>
      <c r="B13" s="5" t="n">
        <v>2000000</v>
      </c>
      <c r="C13" s="6" t="inlineStr"/>
    </row>
    <row r="14">
      <c r="A14" t="inlineStr">
        <is>
          <t>Regulatory fines: low (USD)</t>
        </is>
      </c>
      <c r="B14" s="5" t="n">
        <v>0</v>
      </c>
      <c r="C14" s="6" t="inlineStr">
        <is>
          <t>Fine caps by law: https://cyphrq.com/pillars/privacy-law/</t>
        </is>
      </c>
    </row>
    <row r="15">
      <c r="A15" t="inlineStr">
        <is>
          <t>Regulatory fines: likely (USD)</t>
        </is>
      </c>
      <c r="B15" s="5" t="n">
        <v>100000</v>
      </c>
      <c r="C15" s="6" t="inlineStr"/>
    </row>
    <row r="16">
      <c r="A16" t="inlineStr">
        <is>
          <t>Regulatory fines: high (USD)</t>
        </is>
      </c>
      <c r="B16" s="5" t="n">
        <v>2000000</v>
      </c>
      <c r="C16" s="6" t="inlineStr"/>
    </row>
    <row r="17">
      <c r="A17" t="inlineStr">
        <is>
          <t>Would you consider paying a ransom?</t>
        </is>
      </c>
      <c r="B17" s="7" t="inlineStr">
        <is>
          <t>Yes</t>
        </is>
      </c>
      <c r="C17" s="6" t="inlineStr">
        <is>
          <t>Yes or No.</t>
        </is>
      </c>
    </row>
    <row r="18">
      <c r="A18" t="inlineStr">
        <is>
          <t>Ransom amount (USD)</t>
        </is>
      </c>
      <c r="B18" s="5" t="n">
        <v>139875</v>
      </c>
      <c r="C18" s="6" t="inlineStr">
        <is>
          <t>Default: median ransom paid (Verizon DBIR 2026).</t>
        </is>
      </c>
    </row>
  </sheetData>
  <dataValidations count="2">
    <dataValidation sqref="B4" showErrorMessage="1" showInputMessage="1" allowBlank="0" type="list">
      <formula1>"Manufacturing,Public sector,Healthcare,Information,Retail,Financial,Utilities,Entertainment,Other"</formula1>
    </dataValidation>
    <dataValidation sqref="B17" showErrorMessage="1" showInputMessage="1" allowBlank="0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22" customWidth="1" min="4" max="4"/>
    <col width="16" customWidth="1" min="5" max="5"/>
    <col width="18" customWidth="1" min="6" max="6"/>
    <col width="18" customWidth="1" min="7" max="7"/>
    <col width="14" customWidth="1" min="8" max="8"/>
    <col width="14" customWidth="1" min="9" max="9"/>
    <col width="20" customWidth="1" min="10" max="10"/>
  </cols>
  <sheetData>
    <row r="1">
      <c r="A1" s="4" t="inlineStr">
        <is>
          <t>Your top 5 critical assets (change the shaded cells; leave a row empty to skip it)</t>
        </is>
      </c>
    </row>
    <row r="2">
      <c r="A2" t="inlineStr">
        <is>
          <t>A row with no name is ignored. Data class: Public: Meant for anyone to see, such as marketing pages. | Internal: For staff only; low harm if it leaks, such as internal notices. | Confidential: Harm to customers or the business if it leaks, such as customer records or contracts. | Restricted: Severe harm or legal duty if it leaks, such as health, payment or credential data.</t>
        </is>
      </c>
    </row>
    <row r="3">
      <c r="A3" s="11" t="inlineStr">
        <is>
          <t>Name</t>
        </is>
      </c>
      <c r="B3" s="11" t="inlineStr">
        <is>
          <t>Value (USD)</t>
        </is>
      </c>
      <c r="C3" s="11" t="inlineStr">
        <is>
          <t>Records held</t>
        </is>
      </c>
      <c r="D3" s="11" t="inlineStr">
        <is>
          <t>Downtime cost per day (USD)</t>
        </is>
      </c>
      <c r="E3" s="11" t="inlineStr">
        <is>
          <t>Days to restore</t>
        </is>
      </c>
      <c r="F3" s="11" t="inlineStr">
        <is>
          <t>Data class</t>
        </is>
      </c>
      <c r="G3" s="11" t="inlineStr">
        <is>
          <t>Internet-facing</t>
        </is>
      </c>
      <c r="H3" s="11" t="inlineStr">
        <is>
          <t>RTO (hours, optional)</t>
        </is>
      </c>
      <c r="I3" s="11" t="inlineStr">
        <is>
          <t>RPO (hours, optional)</t>
        </is>
      </c>
      <c r="J3" s="11" t="inlineStr">
        <is>
          <t>Backup interval (hours, optional)</t>
        </is>
      </c>
    </row>
    <row r="4">
      <c r="A4" s="7" t="inlineStr">
        <is>
          <t>ERP system</t>
        </is>
      </c>
      <c r="B4" s="5" t="n">
        <v>2000000</v>
      </c>
      <c r="C4" s="9" t="n">
        <v>20000</v>
      </c>
      <c r="D4" s="5" t="n">
        <v>600000</v>
      </c>
      <c r="E4" s="7" t="n">
        <v>10</v>
      </c>
      <c r="F4" s="7" t="inlineStr">
        <is>
          <t>Confidential</t>
        </is>
      </c>
      <c r="G4" s="7" t="inlineStr">
        <is>
          <t>No</t>
        </is>
      </c>
      <c r="H4" s="7" t="n">
        <v>24</v>
      </c>
      <c r="I4" s="7" t="n">
        <v>4</v>
      </c>
      <c r="J4" s="7" t="n">
        <v>24</v>
      </c>
    </row>
    <row r="5">
      <c r="A5" s="7" t="inlineStr">
        <is>
          <t>Customer portal</t>
        </is>
      </c>
      <c r="B5" s="5" t="n">
        <v>500000</v>
      </c>
      <c r="C5" s="9" t="n">
        <v>50000</v>
      </c>
      <c r="D5" s="5" t="n">
        <v>100000</v>
      </c>
      <c r="E5" s="7" t="n">
        <v>5</v>
      </c>
      <c r="F5" s="7" t="inlineStr">
        <is>
          <t>Restricted</t>
        </is>
      </c>
      <c r="G5" s="7" t="inlineStr">
        <is>
          <t>Yes</t>
        </is>
      </c>
      <c r="H5" s="7" t="n">
        <v>8</v>
      </c>
      <c r="I5" s="7" t="n">
        <v>1</v>
      </c>
      <c r="J5" s="7" t="n">
        <v>1</v>
      </c>
    </row>
    <row r="6">
      <c r="A6" s="7" t="inlineStr">
        <is>
          <t>Plant control systems</t>
        </is>
      </c>
      <c r="B6" s="5" t="n">
        <v>5000000</v>
      </c>
      <c r="C6" s="9" t="n">
        <v>0</v>
      </c>
      <c r="D6" s="5" t="n">
        <v>400000</v>
      </c>
      <c r="E6" s="7" t="n">
        <v>14</v>
      </c>
      <c r="F6" s="7" t="inlineStr">
        <is>
          <t>Internal</t>
        </is>
      </c>
      <c r="G6" s="7" t="inlineStr">
        <is>
          <t>No</t>
        </is>
      </c>
      <c r="H6" s="7" t="n"/>
      <c r="I6" s="7" t="n"/>
      <c r="J6" s="7" t="n"/>
    </row>
    <row r="7">
      <c r="A7" s="7" t="n"/>
      <c r="B7" s="5" t="n"/>
      <c r="C7" s="9" t="n"/>
      <c r="D7" s="5" t="n"/>
      <c r="E7" s="7" t="n"/>
      <c r="F7" s="7" t="n"/>
      <c r="G7" s="7" t="n"/>
      <c r="H7" s="7" t="n"/>
      <c r="I7" s="7" t="n"/>
      <c r="J7" s="7" t="n"/>
    </row>
    <row r="8">
      <c r="A8" s="7" t="n"/>
      <c r="B8" s="5" t="n"/>
      <c r="C8" s="9" t="n"/>
      <c r="D8" s="5" t="n"/>
      <c r="E8" s="7" t="n"/>
      <c r="F8" s="7" t="n"/>
      <c r="G8" s="7" t="n"/>
      <c r="H8" s="7" t="n"/>
      <c r="I8" s="7" t="n"/>
      <c r="J8" s="7" t="n"/>
    </row>
  </sheetData>
  <dataValidations count="2">
    <dataValidation sqref="F4:F8" showErrorMessage="1" showInputMessage="1" allowBlank="1" type="list">
      <formula1>"Public,Internal,Confidential,Restricted"</formula1>
    </dataValidation>
    <dataValidation sqref="G4:G8" showErrorMessage="1" showInputMessage="1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62" customWidth="1" min="1" max="1"/>
    <col width="10" customWidth="1" min="2" max="2"/>
    <col width="70" customWidth="1" min="3" max="3"/>
    <col width="46" customWidth="1" min="4" max="4"/>
  </cols>
  <sheetData>
    <row r="1">
      <c r="A1" s="4" t="inlineStr">
        <is>
          <t>Readiness: answer Yes only if it is true everywhere</t>
        </is>
      </c>
    </row>
    <row r="3">
      <c r="A3" s="11" t="inlineStr">
        <is>
          <t>Question</t>
        </is>
      </c>
      <c r="B3" s="11" t="inlineStr">
        <is>
          <t>Answer</t>
        </is>
      </c>
      <c r="C3" s="11" t="inlineStr">
        <is>
          <t>Why insurers ask</t>
        </is>
      </c>
      <c r="D3" s="11" t="inlineStr">
        <is>
          <t>CyphrQ tool page</t>
        </is>
      </c>
    </row>
    <row r="4">
      <c r="A4" s="6" t="inlineStr">
        <is>
          <t>Do all remote access routes (VPN, remote desktop, cloud logins) need multi-factor authentication?</t>
        </is>
      </c>
      <c r="B4" s="7" t="inlineStr">
        <is>
          <t>Yes</t>
        </is>
      </c>
      <c r="C4" s="6" t="inlineStr">
        <is>
          <t>Stolen passwords are the most common way in; MFA on remote access stops most of them.</t>
        </is>
      </c>
      <c r="D4" t="inlineStr">
        <is>
          <t>https://cyphrq.com/pillars/tools-protect/</t>
        </is>
      </c>
    </row>
    <row r="5">
      <c r="A5" s="6" t="inlineStr">
        <is>
          <t>Do all administrator and privileged accounts need multi-factor authentication?</t>
        </is>
      </c>
      <c r="B5" s="7" t="inlineStr">
        <is>
          <t>No</t>
        </is>
      </c>
      <c r="C5" s="6" t="inlineStr">
        <is>
          <t>An attacker with an admin account can switch off defences and reach every system.</t>
        </is>
      </c>
      <c r="D5" t="inlineStr">
        <is>
          <t>https://cyphrq.com/pillars/tools-protect/</t>
        </is>
      </c>
    </row>
    <row r="6">
      <c r="A6" s="6" t="inlineStr">
        <is>
          <t>Does every email account need multi-factor authentication?</t>
        </is>
      </c>
      <c r="B6" s="7" t="inlineStr">
        <is>
          <t>No</t>
        </is>
      </c>
      <c r="C6" s="6" t="inlineStr">
        <is>
          <t>Email takeover leads to payment fraud and password resets for other services.</t>
        </is>
      </c>
      <c r="D6" t="inlineStr">
        <is>
          <t>https://cyphrq.com/pillars/tools-protect/</t>
        </is>
      </c>
    </row>
    <row r="7">
      <c r="A7" s="6" t="inlineStr">
        <is>
          <t>Is endpoint detection and response (EDR) running on every workstation and server?</t>
        </is>
      </c>
      <c r="B7" s="7" t="inlineStr">
        <is>
          <t>Yes</t>
        </is>
      </c>
      <c r="C7" s="6" t="inlineStr">
        <is>
          <t>EDR catches ransomware behaviour that ordinary antivirus misses; insurers ask for 100% coverage.</t>
        </is>
      </c>
      <c r="D7" t="inlineStr">
        <is>
          <t>https://cyphrq.com/pillars/tools-detect/</t>
        </is>
      </c>
    </row>
    <row r="8">
      <c r="A8" s="6" t="inlineStr">
        <is>
          <t>Do you filter email for phishing, malicious links and attachments with a dedicated email security tool?</t>
        </is>
      </c>
      <c r="B8" s="7" t="inlineStr">
        <is>
          <t>No</t>
        </is>
      </c>
      <c r="C8" s="6" t="inlineStr">
        <is>
          <t>Phishing is a leading way ransomware starts.</t>
        </is>
      </c>
      <c r="D8" t="inlineStr">
        <is>
          <t>https://cyphrq.com/pillars/tools-protect/</t>
        </is>
      </c>
    </row>
    <row r="9">
      <c r="A9" s="6" t="inlineStr">
        <is>
          <t>Are critical security patches installed within 14 days of release?</t>
        </is>
      </c>
      <c r="B9" s="7" t="inlineStr">
        <is>
          <t>No</t>
        </is>
      </c>
      <c r="C9" s="6" t="inlineStr">
        <is>
          <t>Attackers exploit known flaws within days; unpatched systems are a common entry point.</t>
        </is>
      </c>
      <c r="D9" t="inlineStr">
        <is>
          <t>https://cyphrq.com/pillars/tools-identify/</t>
        </is>
      </c>
    </row>
    <row r="10">
      <c r="A10" s="6" t="inlineStr">
        <is>
          <t>Do you control and record administrator access with a privileged access management (PAM) tool?</t>
        </is>
      </c>
      <c r="B10" s="7" t="inlineStr">
        <is>
          <t>No</t>
        </is>
      </c>
      <c r="C10" s="6" t="inlineStr">
        <is>
          <t>It limits what a stolen admin login can do and leaves an audit trail.</t>
        </is>
      </c>
      <c r="D10" t="inlineStr">
        <is>
          <t>https://cyphrq.com/pillars/tools-protect/</t>
        </is>
      </c>
    </row>
    <row r="11">
      <c r="A11" s="6" t="inlineStr">
        <is>
          <t>Do you use zero trust network access (ZTNA) or network access control (NAC) so unknown devices cannot reach internal systems?</t>
        </is>
      </c>
      <c r="B11" s="7" t="inlineStr">
        <is>
          <t>No</t>
        </is>
      </c>
      <c r="C11" s="6" t="inlineStr">
        <is>
          <t>It keeps an intruder on one device from roaming across the network.</t>
        </is>
      </c>
      <c r="D11" t="inlineStr">
        <is>
          <t>https://cyphrq.com/pillars/tools-protect/</t>
        </is>
      </c>
    </row>
    <row r="12">
      <c r="A12" s="6" t="inlineStr">
        <is>
          <t>Do staff take phishing awareness training at least once a year?</t>
        </is>
      </c>
      <c r="B12" s="7" t="inlineStr">
        <is>
          <t>No</t>
        </is>
      </c>
      <c r="C12" s="6" t="inlineStr">
        <is>
          <t>People are the target of most attacks; trained staff report more and click less.</t>
        </is>
      </c>
      <c r="D12" t="inlineStr">
        <is>
          <t>https://cyphrq.com/pillars/awareness/</t>
        </is>
      </c>
    </row>
    <row r="13">
      <c r="A13" s="6" t="inlineStr">
        <is>
          <t>Are backups of all critical systems immutable or kept offline, separate from the main network?</t>
        </is>
      </c>
      <c r="B13" s="7" t="inlineStr">
        <is>
          <t>No</t>
        </is>
      </c>
      <c r="C13" s="6" t="inlineStr">
        <is>
          <t>Ransomware deletes or encrypts reachable backups first; separate copies make recovery possible.</t>
        </is>
      </c>
      <c r="D13" t="inlineStr">
        <is>
          <t>https://cyphrq.com/pillars/tools-respond/</t>
        </is>
      </c>
    </row>
    <row r="14">
      <c r="A14" s="6" t="inlineStr">
        <is>
          <t>Does access to the backup system need multi-factor authentication?</t>
        </is>
      </c>
      <c r="B14" s="7" t="inlineStr">
        <is>
          <t>No</t>
        </is>
      </c>
      <c r="C14" s="6" t="inlineStr">
        <is>
          <t>Attackers who can log in to backups can wipe them.</t>
        </is>
      </c>
      <c r="D14" t="inlineStr">
        <is>
          <t>https://cyphrq.com/pillars/tools-respond/</t>
        </is>
      </c>
    </row>
    <row r="15">
      <c r="A15" s="6" t="inlineStr">
        <is>
          <t>Have you tested restoring from backups in the last 12 months?</t>
        </is>
      </c>
      <c r="B15" s="7" t="inlineStr">
        <is>
          <t>No</t>
        </is>
      </c>
      <c r="C15" s="6" t="inlineStr">
        <is>
          <t>An untested backup often fails; the test shows how many days of downtime to expect.</t>
        </is>
      </c>
      <c r="D15" t="inlineStr">
        <is>
          <t>https://cyphrq.com/pillars/tools-respond/</t>
        </is>
      </c>
    </row>
    <row r="16">
      <c r="A16" s="6" t="inlineStr">
        <is>
          <t>Do you have an incident response plan that you have rehearsed in the last 12 months?</t>
        </is>
      </c>
      <c r="B16" s="7" t="inlineStr">
        <is>
          <t>No</t>
        </is>
      </c>
      <c r="C16" s="6" t="inlineStr">
        <is>
          <t>Rehearsed teams contain incidents sooner, and sooner means cheaper.</t>
        </is>
      </c>
      <c r="D16" t="inlineStr">
        <is>
          <t>https://cyphrq.com/pillars/tools-respond/</t>
        </is>
      </c>
    </row>
    <row r="17">
      <c r="A17" s="6" t="inlineStr">
        <is>
          <t>Is someone watching your security alerts around the clock (an in-house SIEM team or a managed detection and response service)?</t>
        </is>
      </c>
      <c r="B17" s="7" t="inlineStr">
        <is>
          <t>No</t>
        </is>
      </c>
      <c r="C17" s="6" t="inlineStr">
        <is>
          <t>Many attacks run overnight and at weekends; round-the-clock monitoring shortens the time to spot them.</t>
        </is>
      </c>
      <c r="D17" t="inlineStr">
        <is>
          <t>https://cyphrq.com/pillars/tools-detect/</t>
        </is>
      </c>
    </row>
    <row r="18">
      <c r="A18" s="6" t="inlineStr">
        <is>
          <t>Is sensitive data encrypted, or protected by data loss prevention (DLP)?</t>
        </is>
      </c>
      <c r="B18" s="7" t="inlineStr">
        <is>
          <t>No</t>
        </is>
      </c>
      <c r="C18" s="6" t="inlineStr">
        <is>
          <t>Encrypted or controlled data is less costly to lose and easier to defend to regulators.</t>
        </is>
      </c>
      <c r="D18" t="inlineStr">
        <is>
          <t>https://cyphrq.com/pillars/tools-protect/</t>
        </is>
      </c>
    </row>
  </sheetData>
  <dataValidations count="1">
    <dataValidation sqref="B4:B18" showErrorMessage="1" showInputMessage="1" allowBlank="0" type="list">
      <formula1>"Yes,No"</formula1>
    </dataValidation>
  </dataValidations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  <col width="70" customWidth="1" min="5" max="5"/>
  </cols>
  <sheetData>
    <row r="1">
      <c r="A1" s="4" t="inlineStr">
        <is>
          <t>Recovery and continuity (change the shaded cells; leave all blank to skip)</t>
        </is>
      </c>
    </row>
    <row r="3">
      <c r="A3" t="inlineStr">
        <is>
          <t>Recovery time objective, overall (hours)</t>
        </is>
      </c>
      <c r="B3" s="12" t="n">
        <v>48</v>
      </c>
      <c r="E3" s="6" t="inlineStr">
        <is>
          <t>The longest outage you can accept. Compared with the likely restore time.</t>
        </is>
      </c>
    </row>
    <row r="4">
      <c r="A4" t="inlineStr">
        <is>
          <t>Recovery point objective, overall (hours)</t>
        </is>
      </c>
      <c r="B4" s="12" t="n">
        <v>4</v>
      </c>
      <c r="E4" s="6" t="inlineStr">
        <is>
          <t>The most data, in hours of work, you can afford to lose.</t>
        </is>
      </c>
    </row>
    <row r="5">
      <c r="A5" t="inlineStr">
        <is>
          <t>Backup interval (hours between backups)</t>
        </is>
      </c>
      <c r="B5" s="12" t="n">
        <v>24</v>
      </c>
      <c r="E5" s="6" t="inlineStr">
        <is>
          <t>How often backups run.</t>
        </is>
      </c>
    </row>
    <row r="6">
      <c r="A6" t="inlineStr">
        <is>
          <t>Cost to recreate one hour of lost data (USD)</t>
        </is>
      </c>
      <c r="B6" s="5" t="n">
        <v>20000</v>
      </c>
      <c r="E6" s="6" t="inlineStr">
        <is>
          <t>Your estimate; no public default. Blank counts as 0.</t>
        </is>
      </c>
    </row>
    <row r="7">
      <c r="A7" t="inlineStr">
        <is>
          <t>Disaster recovery level</t>
        </is>
      </c>
      <c r="B7" s="7" t="inlineStr">
        <is>
          <t>Cold</t>
        </is>
      </c>
      <c r="E7" s="6" t="inlineStr">
        <is>
          <t>None: No standby environment: you rebuild from backups after a disaster. Cold: Space and hardware are available but must be set up and loaded with data; recovery takes days. Warm: A scaled-down copy is running and kept fairly current; recovery takes hours. Hot: A full copy runs in parallel and takes over within minutes.</t>
        </is>
      </c>
    </row>
    <row r="8">
      <c r="A8" t="inlineStr">
        <is>
          <t>Written business continuity plan (BCP)</t>
        </is>
      </c>
      <c r="B8" s="7" t="inlineStr">
        <is>
          <t>Yes</t>
        </is>
      </c>
      <c r="E8" s="6" t="inlineStr">
        <is>
          <t>Yes or No.</t>
        </is>
      </c>
    </row>
    <row r="9">
      <c r="A9" t="inlineStr">
        <is>
          <t>3-2-1 backups (three copies, two media, one off-site)</t>
        </is>
      </c>
      <c r="B9" s="7" t="inlineStr">
        <is>
          <t>No</t>
        </is>
      </c>
      <c r="E9" s="6" t="inlineStr">
        <is>
          <t>Yes or No.</t>
        </is>
      </c>
    </row>
    <row r="10">
      <c r="A10" t="inlineStr">
        <is>
          <t>Months since the last BCP test</t>
        </is>
      </c>
      <c r="B10" s="12" t="n">
        <v>18</v>
      </c>
      <c r="E10" s="6" t="inlineStr">
        <is>
          <t>Enter 0 or leave blank if never tested.</t>
        </is>
      </c>
    </row>
    <row r="11">
      <c r="A11" t="inlineStr">
        <is>
          <t>Months since the last disaster recovery test</t>
        </is>
      </c>
      <c r="B11" s="12" t="n">
        <v>0</v>
      </c>
      <c r="E11" s="6" t="inlineStr">
        <is>
          <t>Enter 0 or leave blank if never tested.</t>
        </is>
      </c>
    </row>
    <row r="12">
      <c r="A12" t="inlineStr">
        <is>
          <t>Months since the last incident tabletop exercise</t>
        </is>
      </c>
      <c r="B12" s="12" t="n">
        <v>6</v>
      </c>
      <c r="E12" s="6" t="inlineStr">
        <is>
          <t>Enter 0 or leave blank if never held.</t>
        </is>
      </c>
    </row>
    <row r="14">
      <c r="A14" s="4" t="inlineStr">
        <is>
          <t>Calculated (live formulas; do not type here)</t>
        </is>
      </c>
    </row>
    <row r="15">
      <c r="A15" t="inlineStr">
        <is>
          <t>In use (1 = any resilience field filled)</t>
        </is>
      </c>
      <c r="B15" s="13">
        <f>IF(OR(COUNT(B3:B6)&gt;0,B7="Cold",B7="Warm",B7="Hot",B8="Yes",B9="Yes",COUNT(B10:B12)&gt;0,COUNT(Assets!H4:J8)&gt;0),1,0)</f>
        <v/>
      </c>
    </row>
    <row r="16">
      <c r="A16" t="inlineStr">
        <is>
          <t>Likely restore time (hours)</t>
        </is>
      </c>
      <c r="B16" s="14">
        <f>Inputs!B7*24</f>
        <v/>
      </c>
    </row>
    <row r="17">
      <c r="A17" t="inlineStr">
        <is>
          <t>RTO gap: restore time beyond the objective (hours)</t>
        </is>
      </c>
      <c r="B17" s="14">
        <f>IF(ISNUMBER(B3),MAX(0,B16-B3),"")</f>
        <v/>
      </c>
    </row>
    <row r="18">
      <c r="A18" t="inlineStr">
        <is>
          <t>RPO gap: backup interval beyond the objective (hours)</t>
        </is>
      </c>
      <c r="B18" s="14">
        <f>IF(AND(ISNUMBER(B4),ISNUMBER(B5)),MAX(0,B5-B4),"")</f>
        <v/>
      </c>
    </row>
    <row r="19">
      <c r="A19" t="inlineStr">
        <is>
          <t>Backup interval used (hours; blank counts as 0)</t>
        </is>
      </c>
      <c r="B19" s="14">
        <f>IF(ISNUMBER(B5),B5,0)</f>
        <v/>
      </c>
    </row>
    <row r="20">
      <c r="A20" t="inlineStr">
        <is>
          <t>Cost per hour of lost data used (USD)</t>
        </is>
      </c>
      <c r="B20" s="15">
        <f>IF(ISNUMBER(B6),B6,0)</f>
        <v/>
      </c>
    </row>
    <row r="21">
      <c r="A21" t="inlineStr">
        <is>
          <t>Data lost since the last backup: low (USD)</t>
        </is>
      </c>
      <c r="B21" s="15">
        <f>0</f>
        <v/>
      </c>
    </row>
    <row r="22">
      <c r="A22" t="inlineStr">
        <is>
          <t>Data lost since the last backup: likely, half an interval (USD)</t>
        </is>
      </c>
      <c r="B22" s="15">
        <f>B19/2*B20</f>
        <v/>
      </c>
    </row>
    <row r="23">
      <c r="A23" t="inlineStr">
        <is>
          <t>Data lost since the last backup: high, a full interval (USD)</t>
        </is>
      </c>
      <c r="B23" s="15">
        <f>B19*B20</f>
        <v/>
      </c>
    </row>
    <row r="25">
      <c r="A25" s="11" t="inlineStr">
        <is>
          <t>Readiness check</t>
        </is>
      </c>
      <c r="B25" s="11" t="inlineStr">
        <is>
          <t>Met (1/0)</t>
        </is>
      </c>
      <c r="C25" s="11" t="inlineStr">
        <is>
          <t>Points available</t>
        </is>
      </c>
      <c r="D25" s="11" t="inlineStr">
        <is>
          <t>Points earned</t>
        </is>
      </c>
    </row>
    <row r="26">
      <c r="A26" t="inlineStr">
        <is>
          <t>Written business continuity plan (BCP)</t>
        </is>
      </c>
      <c r="B26">
        <f>IF(B8="Yes",1,0)</f>
        <v/>
      </c>
      <c r="C26">
        <f>'Model settings'!B56</f>
        <v/>
      </c>
      <c r="D26">
        <f>B26*C26</f>
        <v/>
      </c>
    </row>
    <row r="27">
      <c r="A27" t="inlineStr">
        <is>
          <t>BCP tested in the last 12 months</t>
        </is>
      </c>
      <c r="B27">
        <f>IF(ISNUMBER(B10),IF(AND(B10&gt;0,B10&lt;='Model settings'!$B$61),1,0),0)</f>
        <v/>
      </c>
      <c r="C27">
        <f>'Model settings'!B57</f>
        <v/>
      </c>
      <c r="D27">
        <f>B27*C27</f>
        <v/>
      </c>
    </row>
    <row r="28">
      <c r="A28" t="inlineStr">
        <is>
          <t>Disaster recovery tested in the last 12 months</t>
        </is>
      </c>
      <c r="B28">
        <f>IF(ISNUMBER(B11),IF(AND(B11&gt;0,B11&lt;='Model settings'!$B$61),1,0),0)</f>
        <v/>
      </c>
      <c r="C28">
        <f>'Model settings'!B58</f>
        <v/>
      </c>
      <c r="D28">
        <f>B28*C28</f>
        <v/>
      </c>
    </row>
    <row r="29">
      <c r="A29" t="inlineStr">
        <is>
          <t>3-2-1 backups</t>
        </is>
      </c>
      <c r="B29">
        <f>IF(B9="Yes",1,0)</f>
        <v/>
      </c>
      <c r="C29">
        <f>'Model settings'!B59</f>
        <v/>
      </c>
      <c r="D29">
        <f>B29*C29</f>
        <v/>
      </c>
    </row>
    <row r="30">
      <c r="A30" t="inlineStr">
        <is>
          <t>Incident tabletop exercise in the last 12 months</t>
        </is>
      </c>
      <c r="B30">
        <f>IF(ISNUMBER(B12),IF(AND(B12&gt;0,B12&lt;='Model settings'!$B$61),1,0),0)</f>
        <v/>
      </c>
      <c r="C30">
        <f>'Model settings'!B60</f>
        <v/>
      </c>
      <c r="D30">
        <f>B30*C30</f>
        <v/>
      </c>
    </row>
    <row r="31">
      <c r="A31" t="inlineStr">
        <is>
          <t>Disaster recovery site or standby (cold, warm or hot)</t>
        </is>
      </c>
      <c r="B31">
        <f>IF(OR(B7="Cold",B7="Warm",B7="Hot"),1,0)</f>
        <v/>
      </c>
      <c r="C31">
        <f>MAX('Model settings'!$B$63:$B$66)</f>
        <v/>
      </c>
      <c r="D31">
        <f>IFERROR(VLOOKUP(B7,'Model settings'!$A$63:$B$66,2,FALSE),0)</f>
        <v/>
      </c>
    </row>
    <row r="32">
      <c r="A32" s="4" t="inlineStr">
        <is>
          <t>Continuity readiness score (out of 100)</t>
        </is>
      </c>
      <c r="B32">
        <f>IF(B15=1,SUM(D26:D31),"")</f>
        <v/>
      </c>
    </row>
    <row r="34">
      <c r="A34" s="4" t="inlineStr">
        <is>
          <t>Plain-language definitions</t>
        </is>
      </c>
    </row>
    <row r="35" ht="32" customHeight="1">
      <c r="A35" s="6" t="inlineStr">
        <is>
          <t>RTO (recovery time objective): The longest outage the business can accept before the harm becomes unacceptable. Compare it with how long a restore really takes.</t>
        </is>
      </c>
    </row>
    <row r="36" ht="32" customHeight="1">
      <c r="A36" s="6" t="inlineStr">
        <is>
          <t>RPO (recovery point objective): The most data, measured in time, you can afford to lose. Backups taken less often than this break it.</t>
        </is>
      </c>
    </row>
    <row r="37" ht="32" customHeight="1">
      <c r="A37" s="6" t="inlineStr">
        <is>
          <t>Cold, warm and hot disaster recovery: Cold: space and hardware, set up after a disaster. Warm: a scaled-down copy kept fairly current. Hot: a full copy that takes over within minutes.</t>
        </is>
      </c>
    </row>
    <row r="38" ht="32" customHeight="1">
      <c r="A38" s="6" t="inlineStr">
        <is>
          <t>3-2-1 backups: Three copies of the data, on two different media, with one copy off-site (ideally immutable).</t>
        </is>
      </c>
    </row>
    <row r="39" ht="32" customHeight="1">
      <c r="A39" s="6" t="inlineStr">
        <is>
          <t>BCP (business continuity plan): A written plan for keeping critical processes running, or restoring them, during and after a disruption.</t>
        </is>
      </c>
    </row>
    <row r="40" ht="32" customHeight="1">
      <c r="A40" s="6" t="inlineStr">
        <is>
          <t>Tabletop exercise: A talk-through of an incident, such as ransomware, where leaders say what they would decide and do.</t>
        </is>
      </c>
    </row>
  </sheetData>
  <mergeCells count="6">
    <mergeCell ref="A35:E35"/>
    <mergeCell ref="A36:E36"/>
    <mergeCell ref="A37:E37"/>
    <mergeCell ref="A38:E38"/>
    <mergeCell ref="A39:E39"/>
    <mergeCell ref="A40:E40"/>
  </mergeCells>
  <dataValidations count="2">
    <dataValidation sqref="B7" showErrorMessage="1" showInputMessage="1" allowBlank="0" type="list">
      <formula1>"None,Cold,Warm,Hot"</formula1>
    </dataValidation>
    <dataValidation sqref="B8:B9" showErrorMessage="1" showInputMessage="1" allowBlank="0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50" customWidth="1" min="1" max="1"/>
    <col width="40" customWidth="1" min="2" max="2"/>
    <col width="18" customWidth="1" min="3" max="3"/>
    <col width="14" customWidth="1" min="4" max="4"/>
    <col width="14" customWidth="1" min="5" max="5"/>
    <col width="100" customWidth="1" min="6" max="6"/>
  </cols>
  <sheetData>
    <row r="1">
      <c r="A1" s="4" t="inlineStr">
        <is>
          <t>Model settings (editable). Multipliers and the low-case share are our assumptions, not insurer pricing.</t>
        </is>
      </c>
    </row>
    <row r="3">
      <c r="A3" t="inlineStr">
        <is>
          <t>Typical firm: chance of an incident in 12 months (IRIS 2025, Fig. 6)</t>
        </is>
      </c>
      <c r="B3" s="16" t="n">
        <v>0.093</v>
      </c>
    </row>
    <row r="4">
      <c r="A4" t="inlineStr">
        <is>
          <t>Low case as a share of the published median (assumption)</t>
        </is>
      </c>
      <c r="B4" s="16" t="n">
        <v>0.25</v>
      </c>
    </row>
    <row r="5">
      <c r="A5" t="inlineStr">
        <is>
          <t>Share of breaches involving ransomware (DBIR 2026)</t>
        </is>
      </c>
      <c r="B5" s="16" t="n">
        <v>0.48</v>
      </c>
    </row>
    <row r="6">
      <c r="A6" t="inlineStr">
        <is>
          <t>Default ransom: median paid (DBIR 2026, USD)</t>
        </is>
      </c>
      <c r="B6" s="5" t="n">
        <v>139875</v>
      </c>
    </row>
    <row r="7">
      <c r="A7" t="inlineStr">
        <is>
          <t>Highest chance of an incident the multipliers can reach</t>
        </is>
      </c>
      <c r="B7" s="16" t="n">
        <v>0.95</v>
      </c>
    </row>
    <row r="9">
      <c r="A9" s="11" t="inlineStr">
        <is>
          <t>Sector (IRIS 2025, Fig. 8)</t>
        </is>
      </c>
      <c r="B9" s="11" t="inlineStr">
        <is>
          <t>12-month chance</t>
        </is>
      </c>
    </row>
    <row r="10">
      <c r="A10" t="inlineStr">
        <is>
          <t>Manufacturing</t>
        </is>
      </c>
      <c r="B10" s="16" t="n">
        <v>0.112</v>
      </c>
    </row>
    <row r="11">
      <c r="A11" t="inlineStr">
        <is>
          <t>Public sector</t>
        </is>
      </c>
      <c r="B11" s="16" t="n">
        <v>0.109</v>
      </c>
    </row>
    <row r="12">
      <c r="A12" t="inlineStr">
        <is>
          <t>Healthcare</t>
        </is>
      </c>
      <c r="B12" s="16" t="n">
        <v>0.091</v>
      </c>
    </row>
    <row r="13">
      <c r="A13" t="inlineStr">
        <is>
          <t>Information</t>
        </is>
      </c>
      <c r="B13" s="16" t="n">
        <v>0.08400000000000001</v>
      </c>
    </row>
    <row r="14">
      <c r="A14" t="inlineStr">
        <is>
          <t>Retail</t>
        </is>
      </c>
      <c r="B14" s="16" t="n">
        <v>0.073</v>
      </c>
    </row>
    <row r="15">
      <c r="A15" t="inlineStr">
        <is>
          <t>Financial</t>
        </is>
      </c>
      <c r="B15" s="16" t="n">
        <v>0.068</v>
      </c>
    </row>
    <row r="16">
      <c r="A16" t="inlineStr">
        <is>
          <t>Utilities</t>
        </is>
      </c>
      <c r="B16" s="16" t="n">
        <v>0.045</v>
      </c>
    </row>
    <row r="17">
      <c r="A17" t="inlineStr">
        <is>
          <t>Entertainment</t>
        </is>
      </c>
      <c r="B17" s="16" t="n">
        <v>0.041</v>
      </c>
    </row>
    <row r="19">
      <c r="A19" s="11" t="inlineStr">
        <is>
          <t>Loss per incident (IRIS 2025, Table 1): revenue below (USD)</t>
        </is>
      </c>
      <c r="B19" s="11" t="inlineStr">
        <is>
          <t>Median loss (USD)</t>
        </is>
      </c>
      <c r="C19" s="11" t="inlineStr">
        <is>
          <t>95th percentile (USD)</t>
        </is>
      </c>
    </row>
    <row r="20">
      <c r="A20" s="5" t="n">
        <v>100000000</v>
      </c>
      <c r="B20" s="5" t="n">
        <v>357000</v>
      </c>
      <c r="C20" s="5" t="n">
        <v>9100000</v>
      </c>
    </row>
    <row r="21">
      <c r="A21" s="5" t="n">
        <v>1000000000</v>
      </c>
      <c r="B21" s="5" t="n">
        <v>466700</v>
      </c>
      <c r="C21" s="5" t="n">
        <v>12300000</v>
      </c>
    </row>
    <row r="22">
      <c r="A22" s="5" t="n">
        <v>10000000000</v>
      </c>
      <c r="B22" s="5" t="n">
        <v>1800000</v>
      </c>
      <c r="C22" s="5" t="n">
        <v>61800000</v>
      </c>
    </row>
    <row r="23">
      <c r="A23" s="5" t="n">
        <v>1e+99</v>
      </c>
      <c r="B23" s="5" t="n">
        <v>2200000</v>
      </c>
      <c r="C23" s="5" t="n">
        <v>266200000</v>
      </c>
    </row>
    <row r="24">
      <c r="A24" t="inlineStr">
        <is>
          <t>(1E+99 stands for no upper limit.)</t>
        </is>
      </c>
    </row>
    <row r="25">
      <c r="A25" s="11" t="inlineStr">
        <is>
          <t>Control key</t>
        </is>
      </c>
      <c r="B25" s="11" t="inlineStr">
        <is>
          <t>Plain-language label</t>
        </is>
      </c>
      <c r="C25" s="11" t="inlineStr">
        <is>
          <t>Affects</t>
        </is>
      </c>
      <c r="D25" s="11" t="inlineStr">
        <is>
          <t>Multiplier if No</t>
        </is>
      </c>
      <c r="E25" s="11" t="inlineStr">
        <is>
          <t>Tie-break order</t>
        </is>
      </c>
      <c r="F25" s="11" t="inlineStr">
        <is>
          <t>What to do next</t>
        </is>
      </c>
    </row>
    <row r="26">
      <c r="A26" t="inlineStr">
        <is>
          <t>mfa_remote</t>
        </is>
      </c>
      <c r="B26" t="inlineStr">
        <is>
          <t>MFA on remote access</t>
        </is>
      </c>
      <c r="C26" t="inlineStr">
        <is>
          <t>Frequency</t>
        </is>
      </c>
      <c r="D26" s="17" t="n">
        <v>1.25</v>
      </c>
      <c r="E26" t="n">
        <v>9</v>
      </c>
      <c r="F26" s="7" t="inlineStr">
        <is>
          <t>Turn on multi-factor authentication for VPN, remote desktop and every cloud login.</t>
        </is>
      </c>
    </row>
    <row r="27">
      <c r="A27" t="inlineStr">
        <is>
          <t>mfa_privileged</t>
        </is>
      </c>
      <c r="B27" t="inlineStr">
        <is>
          <t>MFA on privileged accounts</t>
        </is>
      </c>
      <c r="C27" t="inlineStr">
        <is>
          <t>Frequency</t>
        </is>
      </c>
      <c r="D27" s="17" t="n">
        <v>1.15</v>
      </c>
      <c r="E27" t="n">
        <v>8</v>
      </c>
      <c r="F27" s="7" t="inlineStr">
        <is>
          <t>Require multi-factor authentication for every administrator and privileged account.</t>
        </is>
      </c>
    </row>
    <row r="28">
      <c r="A28" t="inlineStr">
        <is>
          <t>mfa_email</t>
        </is>
      </c>
      <c r="B28" t="inlineStr">
        <is>
          <t>MFA on email</t>
        </is>
      </c>
      <c r="C28" t="inlineStr">
        <is>
          <t>Frequency</t>
        </is>
      </c>
      <c r="D28" s="17" t="n">
        <v>1.1</v>
      </c>
      <c r="E28" t="n">
        <v>7</v>
      </c>
      <c r="F28" s="7" t="inlineStr">
        <is>
          <t>Turn on multi-factor authentication for every email account, starting with executives and finance.</t>
        </is>
      </c>
    </row>
    <row r="29">
      <c r="A29" t="inlineStr">
        <is>
          <t>edr_all</t>
        </is>
      </c>
      <c r="B29" t="inlineStr">
        <is>
          <t>Endpoint detection on every device</t>
        </is>
      </c>
      <c r="C29" t="inlineStr">
        <is>
          <t>Frequency</t>
        </is>
      </c>
      <c r="D29" s="17" t="n">
        <v>1.2</v>
      </c>
      <c r="E29" t="n">
        <v>1</v>
      </c>
      <c r="F29" s="7" t="inlineStr">
        <is>
          <t>Roll out endpoint detection and response to every workstation and server, and check coverage monthly.</t>
        </is>
      </c>
    </row>
    <row r="30">
      <c r="A30" t="inlineStr">
        <is>
          <t>email_security</t>
        </is>
      </c>
      <c r="B30" t="inlineStr">
        <is>
          <t>Email security filtering</t>
        </is>
      </c>
      <c r="C30" t="inlineStr">
        <is>
          <t>Frequency</t>
        </is>
      </c>
      <c r="D30" s="17" t="n">
        <v>1.1</v>
      </c>
      <c r="E30" t="n">
        <v>2</v>
      </c>
      <c r="F30" s="7" t="inlineStr">
        <is>
          <t>Add a dedicated email security tool that scans links and attachments before staff see them.</t>
        </is>
      </c>
    </row>
    <row r="31">
      <c r="A31" t="inlineStr">
        <is>
          <t>patch_14_days</t>
        </is>
      </c>
      <c r="B31" t="inlineStr">
        <is>
          <t>Critical patches within 14 days</t>
        </is>
      </c>
      <c r="C31" t="inlineStr">
        <is>
          <t>Frequency</t>
        </is>
      </c>
      <c r="D31" s="17" t="n">
        <v>1.15</v>
      </c>
      <c r="E31" t="n">
        <v>12</v>
      </c>
      <c r="F31" s="7" t="inlineStr">
        <is>
          <t>Set a 14-day deadline for critical patches and track the systems that miss it.</t>
        </is>
      </c>
    </row>
    <row r="32">
      <c r="A32" t="inlineStr">
        <is>
          <t>pam</t>
        </is>
      </c>
      <c r="B32" t="inlineStr">
        <is>
          <t>Privileged access management</t>
        </is>
      </c>
      <c r="C32" t="inlineStr">
        <is>
          <t>Frequency</t>
        </is>
      </c>
      <c r="D32" s="17" t="n">
        <v>1.1</v>
      </c>
      <c r="E32" t="n">
        <v>11</v>
      </c>
      <c r="F32" s="7" t="inlineStr">
        <is>
          <t>Put administrator access behind a privileged access management tool that records every session.</t>
        </is>
      </c>
    </row>
    <row r="33">
      <c r="A33" t="inlineStr">
        <is>
          <t>ztna_nac</t>
        </is>
      </c>
      <c r="B33" t="inlineStr">
        <is>
          <t>Zero trust or network access control</t>
        </is>
      </c>
      <c r="C33" t="inlineStr">
        <is>
          <t>Frequency</t>
        </is>
      </c>
      <c r="D33" s="17" t="n">
        <v>1.05</v>
      </c>
      <c r="E33" t="n">
        <v>15</v>
      </c>
      <c r="F33" s="7" t="inlineStr">
        <is>
          <t>Move to zero trust or network access control so unknown devices cannot reach internal systems.</t>
        </is>
      </c>
    </row>
    <row r="34">
      <c r="A34" t="inlineStr">
        <is>
          <t>phishing_training</t>
        </is>
      </c>
      <c r="B34" t="inlineStr">
        <is>
          <t>Phishing training</t>
        </is>
      </c>
      <c r="C34" t="inlineStr">
        <is>
          <t>Frequency</t>
        </is>
      </c>
      <c r="D34" s="17" t="n">
        <v>1.05</v>
      </c>
      <c r="E34" t="n">
        <v>13</v>
      </c>
      <c r="F34" s="7" t="inlineStr">
        <is>
          <t>Run phishing awareness training for all staff at least once a year, with simulated tests.</t>
        </is>
      </c>
    </row>
    <row r="35">
      <c r="A35" t="inlineStr">
        <is>
          <t>immutable_offline_backups</t>
        </is>
      </c>
      <c r="B35" t="inlineStr">
        <is>
          <t>Immutable or offline backups</t>
        </is>
      </c>
      <c r="C35" t="inlineStr">
        <is>
          <t>Magnitude</t>
        </is>
      </c>
      <c r="D35" s="17" t="n">
        <v>1.3</v>
      </c>
      <c r="E35" t="n">
        <v>4</v>
      </c>
      <c r="F35" s="7" t="inlineStr">
        <is>
          <t>Keep a copy of critical backups that cannot be changed or deleted from the main network.</t>
        </is>
      </c>
    </row>
    <row r="36">
      <c r="A36" t="inlineStr">
        <is>
          <t>mfa_backups</t>
        </is>
      </c>
      <c r="B36" t="inlineStr">
        <is>
          <t>MFA on backup access</t>
        </is>
      </c>
      <c r="C36" t="inlineStr">
        <is>
          <t>Magnitude</t>
        </is>
      </c>
      <c r="D36" s="17" t="n">
        <v>1.1</v>
      </c>
      <c r="E36" t="n">
        <v>6</v>
      </c>
      <c r="F36" s="7" t="inlineStr">
        <is>
          <t>Require multi-factor authentication to log in to the backup system, and use separate admin accounts.</t>
        </is>
      </c>
    </row>
    <row r="37">
      <c r="A37" t="inlineStr">
        <is>
          <t>restore_tested</t>
        </is>
      </c>
      <c r="B37" t="inlineStr">
        <is>
          <t>Restore tested in the last 12 months</t>
        </is>
      </c>
      <c r="C37" t="inlineStr">
        <is>
          <t>Magnitude</t>
        </is>
      </c>
      <c r="D37" s="17" t="n">
        <v>1.15</v>
      </c>
      <c r="E37" t="n">
        <v>14</v>
      </c>
      <c r="F37" s="7" t="inlineStr">
        <is>
          <t>Run a full restore test, record how long it took, and repeat it every year.</t>
        </is>
      </c>
    </row>
    <row r="38">
      <c r="A38" t="inlineStr">
        <is>
          <t>ir_plan_tested</t>
        </is>
      </c>
      <c r="B38" t="inlineStr">
        <is>
          <t>Incident response plan tested</t>
        </is>
      </c>
      <c r="C38" t="inlineStr">
        <is>
          <t>Magnitude</t>
        </is>
      </c>
      <c r="D38" s="17" t="n">
        <v>1.1</v>
      </c>
      <c r="E38" t="n">
        <v>5</v>
      </c>
      <c r="F38" s="7" t="inlineStr">
        <is>
          <t>Write an incident response plan with named roles and rehearse it once a year.</t>
        </is>
      </c>
    </row>
    <row r="39">
      <c r="A39" t="inlineStr">
        <is>
          <t>monitoring_24x7</t>
        </is>
      </c>
      <c r="B39" t="inlineStr">
        <is>
          <t>24x7 monitoring</t>
        </is>
      </c>
      <c r="C39" t="inlineStr">
        <is>
          <t>Magnitude</t>
        </is>
      </c>
      <c r="D39" s="17" t="n">
        <v>1.15</v>
      </c>
      <c r="E39" t="n">
        <v>10</v>
      </c>
      <c r="F39" s="7" t="inlineStr">
        <is>
          <t>Arrange round-the-clock alert monitoring, in-house or through a managed detection and response service.</t>
        </is>
      </c>
    </row>
    <row r="40">
      <c r="A40" t="inlineStr">
        <is>
          <t>encryption_dlp</t>
        </is>
      </c>
      <c r="B40" t="inlineStr">
        <is>
          <t>Encryption or data loss prevention</t>
        </is>
      </c>
      <c r="C40" t="inlineStr">
        <is>
          <t>Magnitude</t>
        </is>
      </c>
      <c r="D40" s="17" t="n">
        <v>1.1</v>
      </c>
      <c r="E40" t="n">
        <v>3</v>
      </c>
      <c r="F40" s="7" t="inlineStr">
        <is>
          <t>Encrypt sensitive data at rest and in transit, and add data loss prevention for what can leave.</t>
        </is>
      </c>
    </row>
    <row r="42">
      <c r="A42" t="inlineStr">
        <is>
          <t>Tie-break order is the alphabetical rank of the key; it orders controls with equal savings, as the web calculator does.</t>
        </is>
      </c>
    </row>
    <row r="44">
      <c r="A44" s="11" t="inlineStr">
        <is>
          <t>Asset exposure: data class</t>
        </is>
      </c>
      <c r="B44" s="11" t="inlineStr">
        <is>
          <t>Chance weight</t>
        </is>
      </c>
      <c r="C44" s="11" t="inlineStr">
        <is>
          <t>Definition</t>
        </is>
      </c>
    </row>
    <row r="45">
      <c r="A45" t="inlineStr">
        <is>
          <t>Public</t>
        </is>
      </c>
      <c r="B45" s="17" t="n">
        <v>0.5</v>
      </c>
      <c r="C45" t="inlineStr">
        <is>
          <t>Meant for anyone to see, such as marketing pages.</t>
        </is>
      </c>
    </row>
    <row r="46">
      <c r="A46" t="inlineStr">
        <is>
          <t>Internal</t>
        </is>
      </c>
      <c r="B46" s="17" t="n">
        <v>1</v>
      </c>
      <c r="C46" t="inlineStr">
        <is>
          <t>For staff only; low harm if it leaks, such as internal notices.</t>
        </is>
      </c>
    </row>
    <row r="47">
      <c r="A47" t="inlineStr">
        <is>
          <t>Confidential</t>
        </is>
      </c>
      <c r="B47" s="17" t="n">
        <v>1.5</v>
      </c>
      <c r="C47" t="inlineStr">
        <is>
          <t>Harm to customers or the business if it leaks, such as customer records or contracts.</t>
        </is>
      </c>
    </row>
    <row r="48">
      <c r="A48" t="inlineStr">
        <is>
          <t>Restricted</t>
        </is>
      </c>
      <c r="B48" s="17" t="n">
        <v>2</v>
      </c>
      <c r="C48" t="inlineStr">
        <is>
          <t>Severe harm or legal duty if it leaks, such as health, payment or credential data.</t>
        </is>
      </c>
    </row>
    <row r="50">
      <c r="A50" t="inlineStr">
        <is>
          <t>Internet-facing: extra chance weight (assumption)</t>
        </is>
      </c>
      <c r="B50" s="17" t="n">
        <v>1.5</v>
      </c>
    </row>
    <row r="51">
      <c r="A51" t="inlineStr">
        <is>
          <t>Rating High: annual risk is at least this share of revenue (assumption)</t>
        </is>
      </c>
      <c r="B51" s="16" t="n">
        <v>0.01</v>
      </c>
    </row>
    <row r="52">
      <c r="A52" t="inlineStr">
        <is>
          <t>Rating Medium: annual risk is at least this share of revenue (assumption)</t>
        </is>
      </c>
      <c r="B52" s="16" t="n">
        <v>0.001</v>
      </c>
    </row>
    <row r="53">
      <c r="A53" t="inlineStr">
        <is>
          <t>Slow restore: more than this many days (assumption)</t>
        </is>
      </c>
      <c r="B53" s="8" t="n">
        <v>7</v>
      </c>
    </row>
    <row r="55">
      <c r="A55" s="11" t="inlineStr">
        <is>
          <t>Recovery and continuity: readiness points (assumption; they add up to 100)</t>
        </is>
      </c>
      <c r="B55" s="11" t="inlineStr">
        <is>
          <t>Points</t>
        </is>
      </c>
    </row>
    <row r="56">
      <c r="A56" t="inlineStr">
        <is>
          <t>Written business continuity plan (BCP)</t>
        </is>
      </c>
      <c r="B56" s="7" t="n">
        <v>20</v>
      </c>
    </row>
    <row r="57">
      <c r="A57" t="inlineStr">
        <is>
          <t>BCP tested in the last 12 months</t>
        </is>
      </c>
      <c r="B57" s="7" t="n">
        <v>20</v>
      </c>
    </row>
    <row r="58">
      <c r="A58" t="inlineStr">
        <is>
          <t>Disaster recovery tested in the last 12 months</t>
        </is>
      </c>
      <c r="B58" s="7" t="n">
        <v>20</v>
      </c>
    </row>
    <row r="59">
      <c r="A59" t="inlineStr">
        <is>
          <t>3-2-1 backups</t>
        </is>
      </c>
      <c r="B59" s="7" t="n">
        <v>10</v>
      </c>
    </row>
    <row r="60">
      <c r="A60" t="inlineStr">
        <is>
          <t>Incident tabletop exercise in the last 12 months</t>
        </is>
      </c>
      <c r="B60" s="7" t="n">
        <v>10</v>
      </c>
    </row>
    <row r="61">
      <c r="A61" t="inlineStr">
        <is>
          <t>A test or exercise counts only if it was within this many months (assumption)</t>
        </is>
      </c>
      <c r="B61" s="7" t="n">
        <v>12</v>
      </c>
    </row>
    <row r="62">
      <c r="A62" s="11" t="inlineStr">
        <is>
          <t>Disaster recovery level</t>
        </is>
      </c>
      <c r="B62" s="11" t="inlineStr">
        <is>
          <t>Points</t>
        </is>
      </c>
    </row>
    <row r="63">
      <c r="A63" t="inlineStr">
        <is>
          <t>None</t>
        </is>
      </c>
      <c r="B63" s="7" t="n">
        <v>0</v>
      </c>
    </row>
    <row r="64">
      <c r="A64" t="inlineStr">
        <is>
          <t>Cold</t>
        </is>
      </c>
      <c r="B64" s="7" t="n">
        <v>5</v>
      </c>
    </row>
    <row r="65">
      <c r="A65" t="inlineStr">
        <is>
          <t>Warm</t>
        </is>
      </c>
      <c r="B65" s="7" t="n">
        <v>15</v>
      </c>
    </row>
    <row r="66">
      <c r="A66" t="inlineStr">
        <is>
          <t>Hot</t>
        </is>
      </c>
      <c r="B66" s="7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50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18" customWidth="1" min="3" max="3"/>
    <col width="18" customWidth="1" min="4" max="4"/>
    <col width="18" customWidth="1" min="5" max="5"/>
    <col width="14" customWidth="1" min="6" max="6"/>
    <col width="14" customWidth="1" min="7" max="7"/>
    <col width="16" customWidth="1" min="8" max="8"/>
    <col width="14" customWidth="1" min="9" max="9"/>
    <col width="18" customWidth="1" min="10" max="10"/>
    <col width="14" customWidth="1" min="11" max="11"/>
    <col width="14" customWidth="1" min="12" max="12"/>
    <col width="10" customWidth="1" min="13" max="13"/>
  </cols>
  <sheetData>
    <row r="1">
      <c r="A1" s="4" t="inlineStr">
        <is>
          <t>Results (live formulas; do not type here)</t>
        </is>
      </c>
    </row>
    <row r="3">
      <c r="A3" t="inlineStr">
        <is>
          <t>Multiplier on the chance of an incident (from No answers)</t>
        </is>
      </c>
      <c r="B3" s="18">
        <f>PRODUCT($F$36:$F$50)</f>
        <v/>
      </c>
    </row>
    <row r="4">
      <c r="A4" t="inlineStr">
        <is>
          <t>Multiplier on the size of the loss (from No answers)</t>
        </is>
      </c>
      <c r="B4" s="18">
        <f>PRODUCT($G$36:$G$50)</f>
        <v/>
      </c>
    </row>
    <row r="5">
      <c r="A5" t="inlineStr">
        <is>
          <t>Base chance of an incident for your sector</t>
        </is>
      </c>
      <c r="B5" s="19">
        <f>IFERROR(VLOOKUP(Inputs!B4,'Model settings'!$A$10:$B$17,2,FALSE),'Model settings'!$B$3)</f>
        <v/>
      </c>
    </row>
    <row r="6">
      <c r="A6" t="inlineStr">
        <is>
          <t>Chance of a significant incident in 12 months</t>
        </is>
      </c>
      <c r="B6" s="19">
        <f>MIN(B5*B3,'Model settings'!$B$7)</f>
        <v/>
      </c>
    </row>
    <row r="7">
      <c r="A7" t="inlineStr">
        <is>
          <t>Revenue tier (1 = smallest)</t>
        </is>
      </c>
      <c r="B7" s="13">
        <f>COUNTIF('Model settings'!$A$20:$A$23,"&lt;="&amp;Inputs!B3)+1</f>
        <v/>
      </c>
    </row>
    <row r="8">
      <c r="A8" t="inlineStr">
        <is>
          <t>Published median loss for your tier (USD)</t>
        </is>
      </c>
      <c r="B8" s="15">
        <f>INDEX('Model settings'!$B$20:$B$23,B7)</f>
        <v/>
      </c>
    </row>
    <row r="9">
      <c r="A9" t="inlineStr">
        <is>
          <t>Published 95th percentile loss for your tier (USD)</t>
        </is>
      </c>
      <c r="B9" s="15">
        <f>INDEX('Model settings'!$C$20:$C$23,B7)</f>
        <v/>
      </c>
    </row>
    <row r="10">
      <c r="A10" s="11" t="inlineStr">
        <is>
          <t>Loss if one incident happens (USD)</t>
        </is>
      </c>
      <c r="B10" s="11" t="inlineStr">
        <is>
          <t>Low</t>
        </is>
      </c>
      <c r="C10" s="11" t="inlineStr">
        <is>
          <t>Likely</t>
        </is>
      </c>
      <c r="D10" s="11" t="inlineStr">
        <is>
          <t>High</t>
        </is>
      </c>
      <c r="E10" s="11" t="inlineStr">
        <is>
          <t>PERT mean</t>
        </is>
      </c>
    </row>
    <row r="11">
      <c r="A11" t="inlineStr">
        <is>
          <t>Published benchmark for your revenue</t>
        </is>
      </c>
      <c r="B11" s="15">
        <f>B8*'Model settings'!$B$4*B4</f>
        <v/>
      </c>
      <c r="C11" s="15">
        <f>B8*B4</f>
        <v/>
      </c>
      <c r="D11" s="15">
        <f>B9*B4</f>
        <v/>
      </c>
      <c r="E11" s="15">
        <f>(B11+4*C11+D11)/6</f>
        <v/>
      </c>
    </row>
    <row r="12">
      <c r="A12" t="inlineStr">
        <is>
          <t>Your scenario</t>
        </is>
      </c>
      <c r="B12" s="15">
        <f>Inputs!$B$5*Inputs!$B$6+Inputs!$B$11+Inputs!$B$9*Inputs!$B$10+Inputs!$B$14+Resilience!$B$21</f>
        <v/>
      </c>
      <c r="C12" s="15">
        <f>Inputs!$B$5*Inputs!$B$7+Inputs!$B$12+Inputs!$B$9*Inputs!$B$10+Inputs!$B$15+Resilience!$B$22</f>
        <v/>
      </c>
      <c r="D12" s="15">
        <f>Inputs!$B$5*Inputs!$B$8+Inputs!$B$13+Inputs!$B$9*Inputs!$B$10+Inputs!$B$16+Resilience!$B$23</f>
        <v/>
      </c>
      <c r="E12" s="15">
        <f>(B12+4*C12+D12)/6</f>
        <v/>
      </c>
    </row>
    <row r="13">
      <c r="A13" t="inlineStr">
        <is>
          <t>Ransomware scenario</t>
        </is>
      </c>
      <c r="B13" s="15">
        <f>Inputs!$B$5*Inputs!$B$6+Inputs!$B$11+IF(Inputs!$B$17="Yes",IF(ISNUMBER(Inputs!$B$18),Inputs!$B$18,'Model settings'!$B$6),0)+Resilience!$B$21</f>
        <v/>
      </c>
      <c r="C13" s="15">
        <f>Inputs!$B$5*Inputs!$B$7+Inputs!$B$12+IF(Inputs!$B$17="Yes",IF(ISNUMBER(Inputs!$B$18),Inputs!$B$18,'Model settings'!$B$6),0)+Resilience!$B$22</f>
        <v/>
      </c>
      <c r="D13" s="15">
        <f>Inputs!$B$5*Inputs!$B$8+Inputs!$B$13+IF(Inputs!$B$17="Yes",IF(ISNUMBER(Inputs!$B$18),Inputs!$B$18,'Model settings'!$B$6),0)+Resilience!$B$23</f>
        <v/>
      </c>
      <c r="E13" s="15">
        <f>(B13+4*C13+D13)/6</f>
        <v/>
      </c>
    </row>
    <row r="15">
      <c r="A15" t="inlineStr">
        <is>
          <t>Expected annual loss, published benchmark</t>
        </is>
      </c>
      <c r="B15" s="15">
        <f>B6*E11</f>
        <v/>
      </c>
    </row>
    <row r="16">
      <c r="A16" t="inlineStr">
        <is>
          <t>Expected annual loss, your scenario</t>
        </is>
      </c>
      <c r="B16" s="15">
        <f>B6*E12</f>
        <v/>
      </c>
    </row>
    <row r="17">
      <c r="A17" t="inlineStr">
        <is>
          <t>Chance the incident involves ransomware</t>
        </is>
      </c>
      <c r="B17" s="19">
        <f>B6*'Model settings'!$B$5</f>
        <v/>
      </c>
    </row>
    <row r="18">
      <c r="A18" t="inlineStr">
        <is>
          <t>Expected annual loss from ransomware</t>
        </is>
      </c>
      <c r="B18" s="15">
        <f>B17*E13</f>
        <v/>
      </c>
    </row>
    <row r="19">
      <c r="A19" t="inlineStr">
        <is>
          <t>Severe single incident (the larger high case)</t>
        </is>
      </c>
      <c r="B19" s="15">
        <f>MAX(D11,D12)</f>
        <v/>
      </c>
    </row>
    <row r="20">
      <c r="A20" t="inlineStr">
        <is>
          <t>Cover limit range to discuss with a broker: from</t>
        </is>
      </c>
      <c r="B20" s="15">
        <f>MAX(E11,E12)</f>
        <v/>
      </c>
    </row>
    <row r="21">
      <c r="A21" t="inlineStr">
        <is>
          <t>Cover limit range to discuss with a broker: to</t>
        </is>
      </c>
      <c r="B21" s="15">
        <f>B19</f>
        <v/>
      </c>
    </row>
    <row r="23">
      <c r="A23" s="4" t="inlineStr">
        <is>
          <t>Top 5 gaps: expected annual loss saved if the answer became Yes</t>
        </is>
      </c>
      <c r="D23" s="4" t="inlineStr">
        <is>
          <t>Loss breakdown (likely case)</t>
        </is>
      </c>
    </row>
    <row r="24">
      <c r="A24" s="11" t="inlineStr">
        <is>
          <t>Rank</t>
        </is>
      </c>
      <c r="B24" s="11" t="inlineStr">
        <is>
          <t>Control</t>
        </is>
      </c>
      <c r="C24" s="11" t="inlineStr">
        <is>
          <t>Expected annual loss saved (USD)</t>
        </is>
      </c>
      <c r="D24" s="11" t="inlineStr">
        <is>
          <t>Part of one incident</t>
        </is>
      </c>
      <c r="E24" s="11" t="inlineStr">
        <is>
          <t>Likely case (USD)</t>
        </is>
      </c>
    </row>
    <row r="25">
      <c r="A25" t="n">
        <v>1</v>
      </c>
      <c r="B25">
        <f>IFERROR(IF(INDEX($K$36:$K$50,MATCH(A25,$M$36:$M$50,0))&lt;0,"",INDEX($B$36:$B$50,MATCH(A25,$M$36:$M$50,0))),"")</f>
        <v/>
      </c>
      <c r="C25" s="15">
        <f>IFERROR(IF(INDEX($K$36:$K$50,MATCH(A25,$M$36:$M$50,0))&lt;0,"",INDEX($K$36:$K$50,MATCH(A25,$M$36:$M$50,0))),"")</f>
        <v/>
      </c>
      <c r="D25" t="inlineStr">
        <is>
          <t>Downtime</t>
        </is>
      </c>
      <c r="E25" s="15">
        <f>Inputs!$B$5*Inputs!$B$7</f>
        <v/>
      </c>
    </row>
    <row r="26">
      <c r="A26" t="n">
        <v>2</v>
      </c>
      <c r="B26">
        <f>IFERROR(IF(INDEX($K$36:$K$50,MATCH(A26,$M$36:$M$50,0))&lt;0,"",INDEX($B$36:$B$50,MATCH(A26,$M$36:$M$50,0))),"")</f>
        <v/>
      </c>
      <c r="C26" s="15">
        <f>IFERROR(IF(INDEX($K$36:$K$50,MATCH(A26,$M$36:$M$50,0))&lt;0,"",INDEX($K$36:$K$50,MATCH(A26,$M$36:$M$50,0))),"")</f>
        <v/>
      </c>
      <c r="D26" t="inlineStr">
        <is>
          <t>Response</t>
        </is>
      </c>
      <c r="E26" s="15">
        <f>Inputs!$B$12</f>
        <v/>
      </c>
    </row>
    <row r="27">
      <c r="A27" t="n">
        <v>3</v>
      </c>
      <c r="B27">
        <f>IFERROR(IF(INDEX($K$36:$K$50,MATCH(A27,$M$36:$M$50,0))&lt;0,"",INDEX($B$36:$B$50,MATCH(A27,$M$36:$M$50,0))),"")</f>
        <v/>
      </c>
      <c r="C27" s="15">
        <f>IFERROR(IF(INDEX($K$36:$K$50,MATCH(A27,$M$36:$M$50,0))&lt;0,"",INDEX($K$36:$K$50,MATCH(A27,$M$36:$M$50,0))),"")</f>
        <v/>
      </c>
      <c r="D27" t="inlineStr">
        <is>
          <t>Notification</t>
        </is>
      </c>
      <c r="E27" s="15">
        <f>Inputs!$B$9*Inputs!$B$10</f>
        <v/>
      </c>
    </row>
    <row r="28">
      <c r="A28" t="n">
        <v>4</v>
      </c>
      <c r="B28">
        <f>IFERROR(IF(INDEX($K$36:$K$50,MATCH(A28,$M$36:$M$50,0))&lt;0,"",INDEX($B$36:$B$50,MATCH(A28,$M$36:$M$50,0))),"")</f>
        <v/>
      </c>
      <c r="C28" s="15">
        <f>IFERROR(IF(INDEX($K$36:$K$50,MATCH(A28,$M$36:$M$50,0))&lt;0,"",INDEX($K$36:$K$50,MATCH(A28,$M$36:$M$50,0))),"")</f>
        <v/>
      </c>
      <c r="D28" t="inlineStr">
        <is>
          <t>Fines</t>
        </is>
      </c>
      <c r="E28" s="15">
        <f>Inputs!$B$15</f>
        <v/>
      </c>
    </row>
    <row r="29">
      <c r="A29" t="n">
        <v>5</v>
      </c>
      <c r="B29">
        <f>IFERROR(IF(INDEX($K$36:$K$50,MATCH(A29,$M$36:$M$50,0))&lt;0,"",INDEX($B$36:$B$50,MATCH(A29,$M$36:$M$50,0))),"")</f>
        <v/>
      </c>
      <c r="C29" s="15">
        <f>IFERROR(IF(INDEX($K$36:$K$50,MATCH(A29,$M$36:$M$50,0))&lt;0,"",INDEX($K$36:$K$50,MATCH(A29,$M$36:$M$50,0))),"")</f>
        <v/>
      </c>
      <c r="D29" t="inlineStr">
        <is>
          <t>Ransom</t>
        </is>
      </c>
      <c r="E29" s="15">
        <f>IF(Inputs!$B$17="Yes",IF(ISNUMBER(Inputs!$B$18),Inputs!$B$18,'Model settings'!$B$6),0)</f>
        <v/>
      </c>
    </row>
    <row r="30">
      <c r="D30" t="inlineStr">
        <is>
          <t>Data loss</t>
        </is>
      </c>
      <c r="E30" s="15">
        <f>Resilience!$B$22</f>
        <v/>
      </c>
    </row>
    <row r="31">
      <c r="A31" t="inlineStr">
        <is>
          <t>Estimates for planning and insurance conversations. Not insurance, legal or financial advice.</t>
        </is>
      </c>
    </row>
    <row r="33">
      <c r="A33" s="4" t="inlineStr">
        <is>
          <t>Working: one row per control (the gaps are computed here)</t>
        </is>
      </c>
    </row>
    <row r="35">
      <c r="A35" s="11" t="inlineStr">
        <is>
          <t>Control key</t>
        </is>
      </c>
      <c r="B35" s="11" t="inlineStr">
        <is>
          <t>Label</t>
        </is>
      </c>
      <c r="C35" s="11" t="inlineStr">
        <is>
          <t>Answer</t>
        </is>
      </c>
      <c r="D35" s="11" t="inlineStr">
        <is>
          <t>Affects</t>
        </is>
      </c>
      <c r="E35" s="11" t="inlineStr">
        <is>
          <t>Factor</t>
        </is>
      </c>
      <c r="F35" s="11" t="inlineStr">
        <is>
          <t>Chance multiplier</t>
        </is>
      </c>
      <c r="G35" s="11" t="inlineStr">
        <is>
          <t>Size multiplier</t>
        </is>
      </c>
      <c r="H35" s="11" t="inlineStr">
        <is>
          <t>Chance if Yes</t>
        </is>
      </c>
      <c r="I35" s="11" t="inlineStr">
        <is>
          <t>Size multiplier if Yes</t>
        </is>
      </c>
      <c r="J35" s="11" t="inlineStr">
        <is>
          <t>Annual loss if Yes</t>
        </is>
      </c>
      <c r="K35" s="11" t="inlineStr">
        <is>
          <t>Saved if Yes (USD)</t>
        </is>
      </c>
      <c r="L35" s="11" t="inlineStr">
        <is>
          <t>Tie-break order</t>
        </is>
      </c>
      <c r="M35" s="11" t="inlineStr">
        <is>
          <t>Rank</t>
        </is>
      </c>
      <c r="N35" s="11" t="inlineStr">
        <is>
          <t>Sort score</t>
        </is>
      </c>
    </row>
    <row r="36">
      <c r="A36">
        <f>'Model settings'!A26</f>
        <v/>
      </c>
      <c r="B36">
        <f>'Model settings'!B26</f>
        <v/>
      </c>
      <c r="C36">
        <f>Readiness!B4</f>
        <v/>
      </c>
      <c r="D36">
        <f>'Model settings'!C26</f>
        <v/>
      </c>
      <c r="E36">
        <f>'Model settings'!D26</f>
        <v/>
      </c>
      <c r="F36">
        <f>IF(AND(C36="No",D36="Frequency"),E36,1)</f>
        <v/>
      </c>
      <c r="G36">
        <f>IF(AND(C36="No",D36="Magnitude"),E36,1)</f>
        <v/>
      </c>
      <c r="H36">
        <f>IF(C36="No",MIN($B$5*$B$3/F36,'Model settings'!$B$7),$B$6)</f>
        <v/>
      </c>
      <c r="I36">
        <f>IF(C36="No",$B$4/G36,$B$4)</f>
        <v/>
      </c>
      <c r="J36" s="15">
        <f>MAX(H36*($E$11/$B$4)*I36,H36*$E$12)</f>
        <v/>
      </c>
      <c r="K36" s="15">
        <f>IF(C36="No",ROUND(MAX($B$15,$B$16)-J36,2),-1)</f>
        <v/>
      </c>
      <c r="L36">
        <f>'Model settings'!E26</f>
        <v/>
      </c>
      <c r="M36">
        <f>RANK(N36,$N$36:$N$50,0)</f>
        <v/>
      </c>
      <c r="N36">
        <f>K36-L36/100000</f>
        <v/>
      </c>
    </row>
    <row r="37">
      <c r="A37">
        <f>'Model settings'!A27</f>
        <v/>
      </c>
      <c r="B37">
        <f>'Model settings'!B27</f>
        <v/>
      </c>
      <c r="C37">
        <f>Readiness!B5</f>
        <v/>
      </c>
      <c r="D37">
        <f>'Model settings'!C27</f>
        <v/>
      </c>
      <c r="E37">
        <f>'Model settings'!D27</f>
        <v/>
      </c>
      <c r="F37">
        <f>IF(AND(C37="No",D37="Frequency"),E37,1)</f>
        <v/>
      </c>
      <c r="G37">
        <f>IF(AND(C37="No",D37="Magnitude"),E37,1)</f>
        <v/>
      </c>
      <c r="H37">
        <f>IF(C37="No",MIN($B$5*$B$3/F37,'Model settings'!$B$7),$B$6)</f>
        <v/>
      </c>
      <c r="I37">
        <f>IF(C37="No",$B$4/G37,$B$4)</f>
        <v/>
      </c>
      <c r="J37" s="15">
        <f>MAX(H37*($E$11/$B$4)*I37,H37*$E$12)</f>
        <v/>
      </c>
      <c r="K37" s="15">
        <f>IF(C37="No",ROUND(MAX($B$15,$B$16)-J37,2),-1)</f>
        <v/>
      </c>
      <c r="L37">
        <f>'Model settings'!E27</f>
        <v/>
      </c>
      <c r="M37">
        <f>RANK(N37,$N$36:$N$50,0)</f>
        <v/>
      </c>
      <c r="N37">
        <f>K37-L37/100000</f>
        <v/>
      </c>
    </row>
    <row r="38">
      <c r="A38">
        <f>'Model settings'!A28</f>
        <v/>
      </c>
      <c r="B38">
        <f>'Model settings'!B28</f>
        <v/>
      </c>
      <c r="C38">
        <f>Readiness!B6</f>
        <v/>
      </c>
      <c r="D38">
        <f>'Model settings'!C28</f>
        <v/>
      </c>
      <c r="E38">
        <f>'Model settings'!D28</f>
        <v/>
      </c>
      <c r="F38">
        <f>IF(AND(C38="No",D38="Frequency"),E38,1)</f>
        <v/>
      </c>
      <c r="G38">
        <f>IF(AND(C38="No",D38="Magnitude"),E38,1)</f>
        <v/>
      </c>
      <c r="H38">
        <f>IF(C38="No",MIN($B$5*$B$3/F38,'Model settings'!$B$7),$B$6)</f>
        <v/>
      </c>
      <c r="I38">
        <f>IF(C38="No",$B$4/G38,$B$4)</f>
        <v/>
      </c>
      <c r="J38" s="15">
        <f>MAX(H38*($E$11/$B$4)*I38,H38*$E$12)</f>
        <v/>
      </c>
      <c r="K38" s="15">
        <f>IF(C38="No",ROUND(MAX($B$15,$B$16)-J38,2),-1)</f>
        <v/>
      </c>
      <c r="L38">
        <f>'Model settings'!E28</f>
        <v/>
      </c>
      <c r="M38">
        <f>RANK(N38,$N$36:$N$50,0)</f>
        <v/>
      </c>
      <c r="N38">
        <f>K38-L38/100000</f>
        <v/>
      </c>
    </row>
    <row r="39">
      <c r="A39">
        <f>'Model settings'!A29</f>
        <v/>
      </c>
      <c r="B39">
        <f>'Model settings'!B29</f>
        <v/>
      </c>
      <c r="C39">
        <f>Readiness!B7</f>
        <v/>
      </c>
      <c r="D39">
        <f>'Model settings'!C29</f>
        <v/>
      </c>
      <c r="E39">
        <f>'Model settings'!D29</f>
        <v/>
      </c>
      <c r="F39">
        <f>IF(AND(C39="No",D39="Frequency"),E39,1)</f>
        <v/>
      </c>
      <c r="G39">
        <f>IF(AND(C39="No",D39="Magnitude"),E39,1)</f>
        <v/>
      </c>
      <c r="H39">
        <f>IF(C39="No",MIN($B$5*$B$3/F39,'Model settings'!$B$7),$B$6)</f>
        <v/>
      </c>
      <c r="I39">
        <f>IF(C39="No",$B$4/G39,$B$4)</f>
        <v/>
      </c>
      <c r="J39" s="15">
        <f>MAX(H39*($E$11/$B$4)*I39,H39*$E$12)</f>
        <v/>
      </c>
      <c r="K39" s="15">
        <f>IF(C39="No",ROUND(MAX($B$15,$B$16)-J39,2),-1)</f>
        <v/>
      </c>
      <c r="L39">
        <f>'Model settings'!E29</f>
        <v/>
      </c>
      <c r="M39">
        <f>RANK(N39,$N$36:$N$50,0)</f>
        <v/>
      </c>
      <c r="N39">
        <f>K39-L39/100000</f>
        <v/>
      </c>
    </row>
    <row r="40">
      <c r="A40">
        <f>'Model settings'!A30</f>
        <v/>
      </c>
      <c r="B40">
        <f>'Model settings'!B30</f>
        <v/>
      </c>
      <c r="C40">
        <f>Readiness!B8</f>
        <v/>
      </c>
      <c r="D40">
        <f>'Model settings'!C30</f>
        <v/>
      </c>
      <c r="E40">
        <f>'Model settings'!D30</f>
        <v/>
      </c>
      <c r="F40">
        <f>IF(AND(C40="No",D40="Frequency"),E40,1)</f>
        <v/>
      </c>
      <c r="G40">
        <f>IF(AND(C40="No",D40="Magnitude"),E40,1)</f>
        <v/>
      </c>
      <c r="H40">
        <f>IF(C40="No",MIN($B$5*$B$3/F40,'Model settings'!$B$7),$B$6)</f>
        <v/>
      </c>
      <c r="I40">
        <f>IF(C40="No",$B$4/G40,$B$4)</f>
        <v/>
      </c>
      <c r="J40" s="15">
        <f>MAX(H40*($E$11/$B$4)*I40,H40*$E$12)</f>
        <v/>
      </c>
      <c r="K40" s="15">
        <f>IF(C40="No",ROUND(MAX($B$15,$B$16)-J40,2),-1)</f>
        <v/>
      </c>
      <c r="L40">
        <f>'Model settings'!E30</f>
        <v/>
      </c>
      <c r="M40">
        <f>RANK(N40,$N$36:$N$50,0)</f>
        <v/>
      </c>
      <c r="N40">
        <f>K40-L40/100000</f>
        <v/>
      </c>
    </row>
    <row r="41">
      <c r="A41">
        <f>'Model settings'!A31</f>
        <v/>
      </c>
      <c r="B41">
        <f>'Model settings'!B31</f>
        <v/>
      </c>
      <c r="C41">
        <f>Readiness!B9</f>
        <v/>
      </c>
      <c r="D41">
        <f>'Model settings'!C31</f>
        <v/>
      </c>
      <c r="E41">
        <f>'Model settings'!D31</f>
        <v/>
      </c>
      <c r="F41">
        <f>IF(AND(C41="No",D41="Frequency"),E41,1)</f>
        <v/>
      </c>
      <c r="G41">
        <f>IF(AND(C41="No",D41="Magnitude"),E41,1)</f>
        <v/>
      </c>
      <c r="H41">
        <f>IF(C41="No",MIN($B$5*$B$3/F41,'Model settings'!$B$7),$B$6)</f>
        <v/>
      </c>
      <c r="I41">
        <f>IF(C41="No",$B$4/G41,$B$4)</f>
        <v/>
      </c>
      <c r="J41" s="15">
        <f>MAX(H41*($E$11/$B$4)*I41,H41*$E$12)</f>
        <v/>
      </c>
      <c r="K41" s="15">
        <f>IF(C41="No",ROUND(MAX($B$15,$B$16)-J41,2),-1)</f>
        <v/>
      </c>
      <c r="L41">
        <f>'Model settings'!E31</f>
        <v/>
      </c>
      <c r="M41">
        <f>RANK(N41,$N$36:$N$50,0)</f>
        <v/>
      </c>
      <c r="N41">
        <f>K41-L41/100000</f>
        <v/>
      </c>
    </row>
    <row r="42">
      <c r="A42">
        <f>'Model settings'!A32</f>
        <v/>
      </c>
      <c r="B42">
        <f>'Model settings'!B32</f>
        <v/>
      </c>
      <c r="C42">
        <f>Readiness!B10</f>
        <v/>
      </c>
      <c r="D42">
        <f>'Model settings'!C32</f>
        <v/>
      </c>
      <c r="E42">
        <f>'Model settings'!D32</f>
        <v/>
      </c>
      <c r="F42">
        <f>IF(AND(C42="No",D42="Frequency"),E42,1)</f>
        <v/>
      </c>
      <c r="G42">
        <f>IF(AND(C42="No",D42="Magnitude"),E42,1)</f>
        <v/>
      </c>
      <c r="H42">
        <f>IF(C42="No",MIN($B$5*$B$3/F42,'Model settings'!$B$7),$B$6)</f>
        <v/>
      </c>
      <c r="I42">
        <f>IF(C42="No",$B$4/G42,$B$4)</f>
        <v/>
      </c>
      <c r="J42" s="15">
        <f>MAX(H42*($E$11/$B$4)*I42,H42*$E$12)</f>
        <v/>
      </c>
      <c r="K42" s="15">
        <f>IF(C42="No",ROUND(MAX($B$15,$B$16)-J42,2),-1)</f>
        <v/>
      </c>
      <c r="L42">
        <f>'Model settings'!E32</f>
        <v/>
      </c>
      <c r="M42">
        <f>RANK(N42,$N$36:$N$50,0)</f>
        <v/>
      </c>
      <c r="N42">
        <f>K42-L42/100000</f>
        <v/>
      </c>
    </row>
    <row r="43">
      <c r="A43">
        <f>'Model settings'!A33</f>
        <v/>
      </c>
      <c r="B43">
        <f>'Model settings'!B33</f>
        <v/>
      </c>
      <c r="C43">
        <f>Readiness!B11</f>
        <v/>
      </c>
      <c r="D43">
        <f>'Model settings'!C33</f>
        <v/>
      </c>
      <c r="E43">
        <f>'Model settings'!D33</f>
        <v/>
      </c>
      <c r="F43">
        <f>IF(AND(C43="No",D43="Frequency"),E43,1)</f>
        <v/>
      </c>
      <c r="G43">
        <f>IF(AND(C43="No",D43="Magnitude"),E43,1)</f>
        <v/>
      </c>
      <c r="H43">
        <f>IF(C43="No",MIN($B$5*$B$3/F43,'Model settings'!$B$7),$B$6)</f>
        <v/>
      </c>
      <c r="I43">
        <f>IF(C43="No",$B$4/G43,$B$4)</f>
        <v/>
      </c>
      <c r="J43" s="15">
        <f>MAX(H43*($E$11/$B$4)*I43,H43*$E$12)</f>
        <v/>
      </c>
      <c r="K43" s="15">
        <f>IF(C43="No",ROUND(MAX($B$15,$B$16)-J43,2),-1)</f>
        <v/>
      </c>
      <c r="L43">
        <f>'Model settings'!E33</f>
        <v/>
      </c>
      <c r="M43">
        <f>RANK(N43,$N$36:$N$50,0)</f>
        <v/>
      </c>
      <c r="N43">
        <f>K43-L43/100000</f>
        <v/>
      </c>
    </row>
    <row r="44">
      <c r="A44">
        <f>'Model settings'!A34</f>
        <v/>
      </c>
      <c r="B44">
        <f>'Model settings'!B34</f>
        <v/>
      </c>
      <c r="C44">
        <f>Readiness!B12</f>
        <v/>
      </c>
      <c r="D44">
        <f>'Model settings'!C34</f>
        <v/>
      </c>
      <c r="E44">
        <f>'Model settings'!D34</f>
        <v/>
      </c>
      <c r="F44">
        <f>IF(AND(C44="No",D44="Frequency"),E44,1)</f>
        <v/>
      </c>
      <c r="G44">
        <f>IF(AND(C44="No",D44="Magnitude"),E44,1)</f>
        <v/>
      </c>
      <c r="H44">
        <f>IF(C44="No",MIN($B$5*$B$3/F44,'Model settings'!$B$7),$B$6)</f>
        <v/>
      </c>
      <c r="I44">
        <f>IF(C44="No",$B$4/G44,$B$4)</f>
        <v/>
      </c>
      <c r="J44" s="15">
        <f>MAX(H44*($E$11/$B$4)*I44,H44*$E$12)</f>
        <v/>
      </c>
      <c r="K44" s="15">
        <f>IF(C44="No",ROUND(MAX($B$15,$B$16)-J44,2),-1)</f>
        <v/>
      </c>
      <c r="L44">
        <f>'Model settings'!E34</f>
        <v/>
      </c>
      <c r="M44">
        <f>RANK(N44,$N$36:$N$50,0)</f>
        <v/>
      </c>
      <c r="N44">
        <f>K44-L44/100000</f>
        <v/>
      </c>
    </row>
    <row r="45">
      <c r="A45">
        <f>'Model settings'!A35</f>
        <v/>
      </c>
      <c r="B45">
        <f>'Model settings'!B35</f>
        <v/>
      </c>
      <c r="C45">
        <f>Readiness!B13</f>
        <v/>
      </c>
      <c r="D45">
        <f>'Model settings'!C35</f>
        <v/>
      </c>
      <c r="E45">
        <f>'Model settings'!D35</f>
        <v/>
      </c>
      <c r="F45">
        <f>IF(AND(C45="No",D45="Frequency"),E45,1)</f>
        <v/>
      </c>
      <c r="G45">
        <f>IF(AND(C45="No",D45="Magnitude"),E45,1)</f>
        <v/>
      </c>
      <c r="H45">
        <f>IF(C45="No",MIN($B$5*$B$3/F45,'Model settings'!$B$7),$B$6)</f>
        <v/>
      </c>
      <c r="I45">
        <f>IF(C45="No",$B$4/G45,$B$4)</f>
        <v/>
      </c>
      <c r="J45" s="15">
        <f>MAX(H45*($E$11/$B$4)*I45,H45*$E$12)</f>
        <v/>
      </c>
      <c r="K45" s="15">
        <f>IF(C45="No",ROUND(MAX($B$15,$B$16)-J45,2),-1)</f>
        <v/>
      </c>
      <c r="L45">
        <f>'Model settings'!E35</f>
        <v/>
      </c>
      <c r="M45">
        <f>RANK(N45,$N$36:$N$50,0)</f>
        <v/>
      </c>
      <c r="N45">
        <f>K45-L45/100000</f>
        <v/>
      </c>
    </row>
    <row r="46">
      <c r="A46">
        <f>'Model settings'!A36</f>
        <v/>
      </c>
      <c r="B46">
        <f>'Model settings'!B36</f>
        <v/>
      </c>
      <c r="C46">
        <f>Readiness!B14</f>
        <v/>
      </c>
      <c r="D46">
        <f>'Model settings'!C36</f>
        <v/>
      </c>
      <c r="E46">
        <f>'Model settings'!D36</f>
        <v/>
      </c>
      <c r="F46">
        <f>IF(AND(C46="No",D46="Frequency"),E46,1)</f>
        <v/>
      </c>
      <c r="G46">
        <f>IF(AND(C46="No",D46="Magnitude"),E46,1)</f>
        <v/>
      </c>
      <c r="H46">
        <f>IF(C46="No",MIN($B$5*$B$3/F46,'Model settings'!$B$7),$B$6)</f>
        <v/>
      </c>
      <c r="I46">
        <f>IF(C46="No",$B$4/G46,$B$4)</f>
        <v/>
      </c>
      <c r="J46" s="15">
        <f>MAX(H46*($E$11/$B$4)*I46,H46*$E$12)</f>
        <v/>
      </c>
      <c r="K46" s="15">
        <f>IF(C46="No",ROUND(MAX($B$15,$B$16)-J46,2),-1)</f>
        <v/>
      </c>
      <c r="L46">
        <f>'Model settings'!E36</f>
        <v/>
      </c>
      <c r="M46">
        <f>RANK(N46,$N$36:$N$50,0)</f>
        <v/>
      </c>
      <c r="N46">
        <f>K46-L46/100000</f>
        <v/>
      </c>
    </row>
    <row r="47">
      <c r="A47">
        <f>'Model settings'!A37</f>
        <v/>
      </c>
      <c r="B47">
        <f>'Model settings'!B37</f>
        <v/>
      </c>
      <c r="C47">
        <f>Readiness!B15</f>
        <v/>
      </c>
      <c r="D47">
        <f>'Model settings'!C37</f>
        <v/>
      </c>
      <c r="E47">
        <f>'Model settings'!D37</f>
        <v/>
      </c>
      <c r="F47">
        <f>IF(AND(C47="No",D47="Frequency"),E47,1)</f>
        <v/>
      </c>
      <c r="G47">
        <f>IF(AND(C47="No",D47="Magnitude"),E47,1)</f>
        <v/>
      </c>
      <c r="H47">
        <f>IF(C47="No",MIN($B$5*$B$3/F47,'Model settings'!$B$7),$B$6)</f>
        <v/>
      </c>
      <c r="I47">
        <f>IF(C47="No",$B$4/G47,$B$4)</f>
        <v/>
      </c>
      <c r="J47" s="15">
        <f>MAX(H47*($E$11/$B$4)*I47,H47*$E$12)</f>
        <v/>
      </c>
      <c r="K47" s="15">
        <f>IF(C47="No",ROUND(MAX($B$15,$B$16)-J47,2),-1)</f>
        <v/>
      </c>
      <c r="L47">
        <f>'Model settings'!E37</f>
        <v/>
      </c>
      <c r="M47">
        <f>RANK(N47,$N$36:$N$50,0)</f>
        <v/>
      </c>
      <c r="N47">
        <f>K47-L47/100000</f>
        <v/>
      </c>
    </row>
    <row r="48">
      <c r="A48">
        <f>'Model settings'!A38</f>
        <v/>
      </c>
      <c r="B48">
        <f>'Model settings'!B38</f>
        <v/>
      </c>
      <c r="C48">
        <f>Readiness!B16</f>
        <v/>
      </c>
      <c r="D48">
        <f>'Model settings'!C38</f>
        <v/>
      </c>
      <c r="E48">
        <f>'Model settings'!D38</f>
        <v/>
      </c>
      <c r="F48">
        <f>IF(AND(C48="No",D48="Frequency"),E48,1)</f>
        <v/>
      </c>
      <c r="G48">
        <f>IF(AND(C48="No",D48="Magnitude"),E48,1)</f>
        <v/>
      </c>
      <c r="H48">
        <f>IF(C48="No",MIN($B$5*$B$3/F48,'Model settings'!$B$7),$B$6)</f>
        <v/>
      </c>
      <c r="I48">
        <f>IF(C48="No",$B$4/G48,$B$4)</f>
        <v/>
      </c>
      <c r="J48" s="15">
        <f>MAX(H48*($E$11/$B$4)*I48,H48*$E$12)</f>
        <v/>
      </c>
      <c r="K48" s="15">
        <f>IF(C48="No",ROUND(MAX($B$15,$B$16)-J48,2),-1)</f>
        <v/>
      </c>
      <c r="L48">
        <f>'Model settings'!E38</f>
        <v/>
      </c>
      <c r="M48">
        <f>RANK(N48,$N$36:$N$50,0)</f>
        <v/>
      </c>
      <c r="N48">
        <f>K48-L48/100000</f>
        <v/>
      </c>
    </row>
    <row r="49">
      <c r="A49">
        <f>'Model settings'!A39</f>
        <v/>
      </c>
      <c r="B49">
        <f>'Model settings'!B39</f>
        <v/>
      </c>
      <c r="C49">
        <f>Readiness!B17</f>
        <v/>
      </c>
      <c r="D49">
        <f>'Model settings'!C39</f>
        <v/>
      </c>
      <c r="E49">
        <f>'Model settings'!D39</f>
        <v/>
      </c>
      <c r="F49">
        <f>IF(AND(C49="No",D49="Frequency"),E49,1)</f>
        <v/>
      </c>
      <c r="G49">
        <f>IF(AND(C49="No",D49="Magnitude"),E49,1)</f>
        <v/>
      </c>
      <c r="H49">
        <f>IF(C49="No",MIN($B$5*$B$3/F49,'Model settings'!$B$7),$B$6)</f>
        <v/>
      </c>
      <c r="I49">
        <f>IF(C49="No",$B$4/G49,$B$4)</f>
        <v/>
      </c>
      <c r="J49" s="15">
        <f>MAX(H49*($E$11/$B$4)*I49,H49*$E$12)</f>
        <v/>
      </c>
      <c r="K49" s="15">
        <f>IF(C49="No",ROUND(MAX($B$15,$B$16)-J49,2),-1)</f>
        <v/>
      </c>
      <c r="L49">
        <f>'Model settings'!E39</f>
        <v/>
      </c>
      <c r="M49">
        <f>RANK(N49,$N$36:$N$50,0)</f>
        <v/>
      </c>
      <c r="N49">
        <f>K49-L49/100000</f>
        <v/>
      </c>
    </row>
    <row r="50">
      <c r="A50">
        <f>'Model settings'!A40</f>
        <v/>
      </c>
      <c r="B50">
        <f>'Model settings'!B40</f>
        <v/>
      </c>
      <c r="C50">
        <f>Readiness!B18</f>
        <v/>
      </c>
      <c r="D50">
        <f>'Model settings'!C40</f>
        <v/>
      </c>
      <c r="E50">
        <f>'Model settings'!D40</f>
        <v/>
      </c>
      <c r="F50">
        <f>IF(AND(C50="No",D50="Frequency"),E50,1)</f>
        <v/>
      </c>
      <c r="G50">
        <f>IF(AND(C50="No",D50="Magnitude"),E50,1)</f>
        <v/>
      </c>
      <c r="H50">
        <f>IF(C50="No",MIN($B$5*$B$3/F50,'Model settings'!$B$7),$B$6)</f>
        <v/>
      </c>
      <c r="I50">
        <f>IF(C50="No",$B$4/G50,$B$4)</f>
        <v/>
      </c>
      <c r="J50" s="15">
        <f>MAX(H50*($E$11/$B$4)*I50,H50*$E$12)</f>
        <v/>
      </c>
      <c r="K50" s="15">
        <f>IF(C50="No",ROUND(MAX($B$15,$B$16)-J50,2),-1)</f>
        <v/>
      </c>
      <c r="L50">
        <f>'Model settings'!E40</f>
        <v/>
      </c>
      <c r="M50">
        <f>RANK(N50,$N$36:$N$50,0)</f>
        <v/>
      </c>
      <c r="N50">
        <f>K50-L50/100000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2" customWidth="1" min="4" max="4"/>
    <col width="12" customWidth="1" min="5" max="5"/>
    <col width="16" customWidth="1" min="6" max="6"/>
    <col width="16" customWidth="1" min="7" max="7"/>
    <col width="16" customWidth="1" min="8" max="8"/>
    <col width="12" customWidth="1" min="9" max="9"/>
    <col width="16" customWidth="1" min="10" max="10"/>
    <col width="14" customWidth="1" min="11" max="11"/>
    <col width="14" customWidth="1" min="12" max="12"/>
  </cols>
  <sheetData>
    <row r="1">
      <c r="A1" s="4" t="inlineStr">
        <is>
          <t>Exposure analysis (live formulas; do not type here)</t>
        </is>
      </c>
    </row>
    <row r="3">
      <c r="A3" s="11" t="inlineStr">
        <is>
          <t>Asset</t>
        </is>
      </c>
      <c r="B3" s="11" t="inlineStr">
        <is>
          <t>Value (USD)</t>
        </is>
      </c>
      <c r="C3" s="11" t="inlineStr">
        <is>
          <t>Exposure (USD)</t>
        </is>
      </c>
      <c r="D3" s="11" t="inlineStr">
        <is>
          <t>Weight</t>
        </is>
      </c>
      <c r="E3" s="11" t="inlineStr">
        <is>
          <t>Chance</t>
        </is>
      </c>
      <c r="F3" s="11" t="inlineStr">
        <is>
          <t>Annual risk (USD)</t>
        </is>
      </c>
      <c r="G3" s="11" t="inlineStr">
        <is>
          <t>Exposure / value</t>
        </is>
      </c>
      <c r="H3" s="11" t="inlineStr">
        <is>
          <t>Annual risk, share of revenue</t>
        </is>
      </c>
      <c r="I3" s="11" t="inlineStr">
        <is>
          <t>Rating</t>
        </is>
      </c>
      <c r="J3" s="11" t="inlineStr">
        <is>
          <t>Restore time (hours)</t>
        </is>
      </c>
      <c r="K3" s="11" t="inlineStr">
        <is>
          <t>RTO gap (hours)</t>
        </is>
      </c>
      <c r="L3" s="11" t="inlineStr">
        <is>
          <t>RPO gap (hours)</t>
        </is>
      </c>
    </row>
    <row r="4">
      <c r="A4">
        <f>IF(Assets!A4="","",Assets!A4)</f>
        <v/>
      </c>
      <c r="B4" s="15">
        <f>IF(A4="","",IF(ISNUMBER(Assets!B4),Assets!B4,0))</f>
        <v/>
      </c>
      <c r="C4" s="15">
        <f>IF(A4="","",IF(ISNUMBER(Assets!D4),Assets!D4,0)*IF(ISNUMBER(Assets!E4),Assets!E4,0)+IF(ISNUMBER(Assets!C4),Assets!C4,0)*Inputs!$B$10)</f>
        <v/>
      </c>
      <c r="D4" s="20">
        <f>IF(A4="","",IFERROR(VLOOKUP(Assets!F4,'Model settings'!$A$45:$B$48,2,FALSE),1)*IF(Assets!G4="Yes",'Model settings'!$B$50,1))</f>
        <v/>
      </c>
      <c r="E4" s="19">
        <f>IF(A4="","",MIN(Results!$B$6*D4,'Model settings'!$B$7))</f>
        <v/>
      </c>
      <c r="F4" s="15">
        <f>IF(A4="","",E4*C4)</f>
        <v/>
      </c>
      <c r="G4" s="20">
        <f>IF(A4="","",IFERROR(C4/B4,""))</f>
        <v/>
      </c>
      <c r="H4" s="21">
        <f>IF(A4="","",IF(Inputs!$B$3=0,0,F4/Inputs!$B$3))</f>
        <v/>
      </c>
      <c r="I4">
        <f>IF(A4="","",IF(H4&gt;='Model settings'!$B$51,"High",IF(H4&gt;='Model settings'!$B$52,"Medium","Low")))</f>
        <v/>
      </c>
      <c r="J4" s="14">
        <f>IF(A4="","",IF(ISNUMBER(Assets!E4),Assets!E4,0)*24)</f>
        <v/>
      </c>
      <c r="K4" s="14">
        <f>IF(A4="","",IF(ISNUMBER(Assets!H4),MAX(0,J4-Assets!H4),""))</f>
        <v/>
      </c>
      <c r="L4" s="14">
        <f>IF(A4="","",IF(AND(ISNUMBER(Assets!I4),ISNUMBER(Assets!J4)),MAX(0,Assets!J4-Assets!I4),""))</f>
        <v/>
      </c>
    </row>
    <row r="5">
      <c r="A5">
        <f>IF(Assets!A5="","",Assets!A5)</f>
        <v/>
      </c>
      <c r="B5" s="15">
        <f>IF(A5="","",IF(ISNUMBER(Assets!B5),Assets!B5,0))</f>
        <v/>
      </c>
      <c r="C5" s="15">
        <f>IF(A5="","",IF(ISNUMBER(Assets!D5),Assets!D5,0)*IF(ISNUMBER(Assets!E5),Assets!E5,0)+IF(ISNUMBER(Assets!C5),Assets!C5,0)*Inputs!$B$10)</f>
        <v/>
      </c>
      <c r="D5" s="20">
        <f>IF(A5="","",IFERROR(VLOOKUP(Assets!F5,'Model settings'!$A$45:$B$48,2,FALSE),1)*IF(Assets!G5="Yes",'Model settings'!$B$50,1))</f>
        <v/>
      </c>
      <c r="E5" s="19">
        <f>IF(A5="","",MIN(Results!$B$6*D5,'Model settings'!$B$7))</f>
        <v/>
      </c>
      <c r="F5" s="15">
        <f>IF(A5="","",E5*C5)</f>
        <v/>
      </c>
      <c r="G5" s="20">
        <f>IF(A5="","",IFERROR(C5/B5,""))</f>
        <v/>
      </c>
      <c r="H5" s="21">
        <f>IF(A5="","",IF(Inputs!$B$3=0,0,F5/Inputs!$B$3))</f>
        <v/>
      </c>
      <c r="I5">
        <f>IF(A5="","",IF(H5&gt;='Model settings'!$B$51,"High",IF(H5&gt;='Model settings'!$B$52,"Medium","Low")))</f>
        <v/>
      </c>
      <c r="J5" s="14">
        <f>IF(A5="","",IF(ISNUMBER(Assets!E5),Assets!E5,0)*24)</f>
        <v/>
      </c>
      <c r="K5" s="14">
        <f>IF(A5="","",IF(ISNUMBER(Assets!H5),MAX(0,J5-Assets!H5),""))</f>
        <v/>
      </c>
      <c r="L5" s="14">
        <f>IF(A5="","",IF(AND(ISNUMBER(Assets!I5),ISNUMBER(Assets!J5)),MAX(0,Assets!J5-Assets!I5),""))</f>
        <v/>
      </c>
    </row>
    <row r="6">
      <c r="A6">
        <f>IF(Assets!A6="","",Assets!A6)</f>
        <v/>
      </c>
      <c r="B6" s="15">
        <f>IF(A6="","",IF(ISNUMBER(Assets!B6),Assets!B6,0))</f>
        <v/>
      </c>
      <c r="C6" s="15">
        <f>IF(A6="","",IF(ISNUMBER(Assets!D6),Assets!D6,0)*IF(ISNUMBER(Assets!E6),Assets!E6,0)+IF(ISNUMBER(Assets!C6),Assets!C6,0)*Inputs!$B$10)</f>
        <v/>
      </c>
      <c r="D6" s="20">
        <f>IF(A6="","",IFERROR(VLOOKUP(Assets!F6,'Model settings'!$A$45:$B$48,2,FALSE),1)*IF(Assets!G6="Yes",'Model settings'!$B$50,1))</f>
        <v/>
      </c>
      <c r="E6" s="19">
        <f>IF(A6="","",MIN(Results!$B$6*D6,'Model settings'!$B$7))</f>
        <v/>
      </c>
      <c r="F6" s="15">
        <f>IF(A6="","",E6*C6)</f>
        <v/>
      </c>
      <c r="G6" s="20">
        <f>IF(A6="","",IFERROR(C6/B6,""))</f>
        <v/>
      </c>
      <c r="H6" s="21">
        <f>IF(A6="","",IF(Inputs!$B$3=0,0,F6/Inputs!$B$3))</f>
        <v/>
      </c>
      <c r="I6">
        <f>IF(A6="","",IF(H6&gt;='Model settings'!$B$51,"High",IF(H6&gt;='Model settings'!$B$52,"Medium","Low")))</f>
        <v/>
      </c>
      <c r="J6" s="14">
        <f>IF(A6="","",IF(ISNUMBER(Assets!E6),Assets!E6,0)*24)</f>
        <v/>
      </c>
      <c r="K6" s="14">
        <f>IF(A6="","",IF(ISNUMBER(Assets!H6),MAX(0,J6-Assets!H6),""))</f>
        <v/>
      </c>
      <c r="L6" s="14">
        <f>IF(A6="","",IF(AND(ISNUMBER(Assets!I6),ISNUMBER(Assets!J6)),MAX(0,Assets!J6-Assets!I6),""))</f>
        <v/>
      </c>
    </row>
    <row r="7">
      <c r="A7">
        <f>IF(Assets!A7="","",Assets!A7)</f>
        <v/>
      </c>
      <c r="B7" s="15">
        <f>IF(A7="","",IF(ISNUMBER(Assets!B7),Assets!B7,0))</f>
        <v/>
      </c>
      <c r="C7" s="15">
        <f>IF(A7="","",IF(ISNUMBER(Assets!D7),Assets!D7,0)*IF(ISNUMBER(Assets!E7),Assets!E7,0)+IF(ISNUMBER(Assets!C7),Assets!C7,0)*Inputs!$B$10)</f>
        <v/>
      </c>
      <c r="D7" s="20">
        <f>IF(A7="","",IFERROR(VLOOKUP(Assets!F7,'Model settings'!$A$45:$B$48,2,FALSE),1)*IF(Assets!G7="Yes",'Model settings'!$B$50,1))</f>
        <v/>
      </c>
      <c r="E7" s="19">
        <f>IF(A7="","",MIN(Results!$B$6*D7,'Model settings'!$B$7))</f>
        <v/>
      </c>
      <c r="F7" s="15">
        <f>IF(A7="","",E7*C7)</f>
        <v/>
      </c>
      <c r="G7" s="20">
        <f>IF(A7="","",IFERROR(C7/B7,""))</f>
        <v/>
      </c>
      <c r="H7" s="21">
        <f>IF(A7="","",IF(Inputs!$B$3=0,0,F7/Inputs!$B$3))</f>
        <v/>
      </c>
      <c r="I7">
        <f>IF(A7="","",IF(H7&gt;='Model settings'!$B$51,"High",IF(H7&gt;='Model settings'!$B$52,"Medium","Low")))</f>
        <v/>
      </c>
      <c r="J7" s="14">
        <f>IF(A7="","",IF(ISNUMBER(Assets!E7),Assets!E7,0)*24)</f>
        <v/>
      </c>
      <c r="K7" s="14">
        <f>IF(A7="","",IF(ISNUMBER(Assets!H7),MAX(0,J7-Assets!H7),""))</f>
        <v/>
      </c>
      <c r="L7" s="14">
        <f>IF(A7="","",IF(AND(ISNUMBER(Assets!I7),ISNUMBER(Assets!J7)),MAX(0,Assets!J7-Assets!I7),""))</f>
        <v/>
      </c>
    </row>
    <row r="8">
      <c r="A8">
        <f>IF(Assets!A8="","",Assets!A8)</f>
        <v/>
      </c>
      <c r="B8" s="15">
        <f>IF(A8="","",IF(ISNUMBER(Assets!B8),Assets!B8,0))</f>
        <v/>
      </c>
      <c r="C8" s="15">
        <f>IF(A8="","",IF(ISNUMBER(Assets!D8),Assets!D8,0)*IF(ISNUMBER(Assets!E8),Assets!E8,0)+IF(ISNUMBER(Assets!C8),Assets!C8,0)*Inputs!$B$10)</f>
        <v/>
      </c>
      <c r="D8" s="20">
        <f>IF(A8="","",IFERROR(VLOOKUP(Assets!F8,'Model settings'!$A$45:$B$48,2,FALSE),1)*IF(Assets!G8="Yes",'Model settings'!$B$50,1))</f>
        <v/>
      </c>
      <c r="E8" s="19">
        <f>IF(A8="","",MIN(Results!$B$6*D8,'Model settings'!$B$7))</f>
        <v/>
      </c>
      <c r="F8" s="15">
        <f>IF(A8="","",E8*C8)</f>
        <v/>
      </c>
      <c r="G8" s="20">
        <f>IF(A8="","",IFERROR(C8/B8,""))</f>
        <v/>
      </c>
      <c r="H8" s="21">
        <f>IF(A8="","",IF(Inputs!$B$3=0,0,F8/Inputs!$B$3))</f>
        <v/>
      </c>
      <c r="I8">
        <f>IF(A8="","",IF(H8&gt;='Model settings'!$B$51,"High",IF(H8&gt;='Model settings'!$B$52,"Medium","Low")))</f>
        <v/>
      </c>
      <c r="J8" s="14">
        <f>IF(A8="","",IF(ISNUMBER(Assets!E8),Assets!E8,0)*24)</f>
        <v/>
      </c>
      <c r="K8" s="14">
        <f>IF(A8="","",IF(ISNUMBER(Assets!H8),MAX(0,J8-Assets!H8),""))</f>
        <v/>
      </c>
      <c r="L8" s="14">
        <f>IF(A8="","",IF(AND(ISNUMBER(Assets!I8),ISNUMBER(Assets!J8)),MAX(0,Assets!J8-Assets!I8),""))</f>
        <v/>
      </c>
    </row>
    <row r="10">
      <c r="A10" t="inlineStr">
        <is>
          <t>Exposure = downtime cost per day x days to restore + records x cost per record. Chance = chance of an incident x data-class weight x internet weight, capped.</t>
        </is>
      </c>
    </row>
    <row r="11">
      <c r="A11" t="inlineStr">
        <is>
          <t>Exposure / value is blank when the value is 0. RTO and RPO gaps are blank when the asset has no target.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4" t="inlineStr">
        <is>
          <t>Charts (native Excel charts; they update when you change the inputs)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56" customWidth="1" min="3" max="3"/>
    <col width="18" customWidth="1" min="4" max="4"/>
    <col width="16" customWidth="1" min="5" max="5"/>
    <col width="14" customWidth="1" min="6" max="6"/>
    <col width="14" customWidth="1" min="7" max="7"/>
    <col width="50" customWidth="1" min="8" max="8"/>
    <col width="4" customWidth="1" min="9" max="9"/>
    <col width="24" customWidth="1" min="10" max="10"/>
    <col width="100" customWidth="1" min="11" max="11"/>
    <col width="30" customWidth="1" min="12" max="12"/>
  </cols>
  <sheetData>
    <row r="1">
      <c r="A1" s="4" t="inlineStr">
        <is>
          <t>Recommendations</t>
        </is>
      </c>
    </row>
    <row r="2">
      <c r="A2" t="inlineStr">
        <is>
          <t>First the top-5 gaps, then one line per asset rule that applies. Helper columns work the same in Excel, Numbers and Google Sheets.</t>
        </is>
      </c>
    </row>
    <row r="3">
      <c r="A3" s="11" t="inlineStr">
        <is>
          <t>Rank</t>
        </is>
      </c>
      <c r="B3" s="11" t="inlineStr">
        <is>
          <t>Control</t>
        </is>
      </c>
      <c r="C3" s="11" t="inlineStr">
        <is>
          <t>What to do next</t>
        </is>
      </c>
      <c r="D3" s="11" t="inlineStr">
        <is>
          <t>Loss saved (USD)</t>
        </is>
      </c>
      <c r="J3" s="4" t="inlineStr">
        <is>
          <t>Rule</t>
        </is>
      </c>
      <c r="K3" s="4" t="inlineStr">
        <is>
          <t>Text ({asset} is replaced by the asset name; editable)</t>
        </is>
      </c>
      <c r="L3" s="4" t="inlineStr">
        <is>
          <t>CyphrQ page</t>
        </is>
      </c>
    </row>
    <row r="4">
      <c r="A4" t="n">
        <v>1</v>
      </c>
      <c r="B4">
        <f>Results!B25</f>
        <v/>
      </c>
      <c r="C4" s="6">
        <f>IF(B4="","",IFERROR(INDEX('Model settings'!$F$26:$F$40,MATCH(B4,'Model settings'!$B$26:$B$40,0)),""))</f>
        <v/>
      </c>
      <c r="D4" s="15">
        <f>Results!C25</f>
        <v/>
      </c>
      <c r="J4" t="inlineStr">
        <is>
          <t>exposure_exceeds_value</t>
        </is>
      </c>
      <c r="K4" s="7" t="inlineStr">
        <is>
          <t>{asset}: losing it would cost more than it is worth. Plan redundancy or a fallback, and make sure your cover limit includes it.</t>
        </is>
      </c>
      <c r="L4" t="inlineStr">
        <is>
          <t>https://cyphrq.com/pillars/tools-respond/</t>
        </is>
      </c>
    </row>
    <row r="5">
      <c r="A5" t="n">
        <v>2</v>
      </c>
      <c r="B5">
        <f>Results!B26</f>
        <v/>
      </c>
      <c r="C5" s="6">
        <f>IF(B5="","",IFERROR(INDEX('Model settings'!$F$26:$F$40,MATCH(B5,'Model settings'!$B$26:$B$40,0)),""))</f>
        <v/>
      </c>
      <c r="D5" s="15">
        <f>Results!C26</f>
        <v/>
      </c>
      <c r="J5" t="inlineStr">
        <is>
          <t>internet_facing_high</t>
        </is>
      </c>
      <c r="K5" s="7" t="inlineStr">
        <is>
          <t>{asset}: internet-facing and rated High. Put it behind MFA or zero trust access and patch it within 14 days.</t>
        </is>
      </c>
      <c r="L5" t="inlineStr">
        <is>
          <t>https://cyphrq.com/pillars/tools-protect/</t>
        </is>
      </c>
    </row>
    <row r="6">
      <c r="A6" t="n">
        <v>3</v>
      </c>
      <c r="B6">
        <f>Results!B27</f>
        <v/>
      </c>
      <c r="C6" s="6">
        <f>IF(B6="","",IFERROR(INDEX('Model settings'!$F$26:$F$40,MATCH(B6,'Model settings'!$B$26:$B$40,0)),""))</f>
        <v/>
      </c>
      <c r="D6" s="15">
        <f>Results!C27</f>
        <v/>
      </c>
      <c r="J6" t="inlineStr">
        <is>
          <t>sensitive_unprotected</t>
        </is>
      </c>
      <c r="K6" s="7" t="inlineStr">
        <is>
          <t>{asset}: sensitive data without encryption or DLP. Encrypt it at rest and in transit, and control what can leave.</t>
        </is>
      </c>
      <c r="L6" t="inlineStr">
        <is>
          <t>https://cyphrq.com/pillars/tools-protect/</t>
        </is>
      </c>
    </row>
    <row r="7">
      <c r="A7" t="n">
        <v>4</v>
      </c>
      <c r="B7">
        <f>Results!B28</f>
        <v/>
      </c>
      <c r="C7" s="6">
        <f>IF(B7="","",IFERROR(INDEX('Model settings'!$F$26:$F$40,MATCH(B7,'Model settings'!$B$26:$B$40,0)),""))</f>
        <v/>
      </c>
      <c r="D7" s="15">
        <f>Results!C28</f>
        <v/>
      </c>
      <c r="J7" t="inlineStr">
        <is>
          <t>slow_untested_restore</t>
        </is>
      </c>
      <c r="K7" s="7" t="inlineStr">
        <is>
          <t>{asset}: restoring takes more than 7 days and has never been tested. Run a restore test and set a recovery-time target.</t>
        </is>
      </c>
      <c r="L7" t="inlineStr">
        <is>
          <t>https://cyphrq.com/pillars/tools-respond/</t>
        </is>
      </c>
    </row>
    <row r="8">
      <c r="A8" t="n">
        <v>5</v>
      </c>
      <c r="B8">
        <f>Results!B29</f>
        <v/>
      </c>
      <c r="C8" s="6">
        <f>IF(B8="","",IFERROR(INDEX('Model settings'!$F$26:$F$40,MATCH(B8,'Model settings'!$B$26:$B$40,0)),""))</f>
        <v/>
      </c>
      <c r="D8" s="15">
        <f>Results!C29</f>
        <v/>
      </c>
      <c r="J8" t="inlineStr">
        <is>
          <t>rto_unmet</t>
        </is>
      </c>
      <c r="K8" s="7" t="inlineStr">
        <is>
          <t>Your likely restore time is longer than your recovery time objective (RTO). Either invest to restore faster (tested runbooks, warm standby) or agree a realistic RTO with the business.</t>
        </is>
      </c>
      <c r="L8" t="inlineStr">
        <is>
          <t>https://cyphrq.com/pillars/tools-respond/</t>
        </is>
      </c>
    </row>
    <row r="9">
      <c r="J9" t="inlineStr">
        <is>
          <t>rpo_unmet</t>
        </is>
      </c>
      <c r="K9" s="7" t="inlineStr">
        <is>
          <t>Backups run less often than your recovery point objective (RPO) allows, so an incident would lose more data than you have agreed to. Back up or replicate more often.</t>
        </is>
      </c>
      <c r="L9" t="inlineStr">
        <is>
          <t>https://cyphrq.com/pillars/tools-respond/</t>
        </is>
      </c>
    </row>
    <row r="10">
      <c r="A10" s="4" t="inlineStr">
        <is>
          <t>Recommendations for your assets and your recovery plans</t>
        </is>
      </c>
      <c r="J10" t="inlineStr">
        <is>
          <t>no_bcp</t>
        </is>
      </c>
      <c r="K10" s="7" t="inlineStr">
        <is>
          <t>There is no written business continuity plan. Start with a business impact analysis, then set RTO and RPO for each critical process.</t>
        </is>
      </c>
      <c r="L10" t="inlineStr">
        <is>
          <t>https://cyphrq.com/pillars/iso-standards/</t>
        </is>
      </c>
    </row>
    <row r="11">
      <c r="A11" s="11" t="inlineStr">
        <is>
          <t>No.</t>
        </is>
      </c>
      <c r="B11" s="11" t="inlineStr">
        <is>
          <t>Asset</t>
        </is>
      </c>
      <c r="C11" s="11" t="inlineStr">
        <is>
          <t>Recommendation</t>
        </is>
      </c>
      <c r="D11" s="11" t="inlineStr">
        <is>
          <t>Page</t>
        </is>
      </c>
      <c r="E11" s="11" t="inlineStr"/>
      <c r="F11" s="11" t="inlineStr">
        <is>
          <t>Working row</t>
        </is>
      </c>
      <c r="J11" t="inlineStr">
        <is>
          <t>bcp_test_overdue</t>
        </is>
      </c>
      <c r="K11" s="7" t="inlineStr">
        <is>
          <t>Your continuity plan has not been tested in the last 12 months. Run a test this quarter and record what failed.</t>
        </is>
      </c>
      <c r="L11" t="inlineStr">
        <is>
          <t>https://cyphrq.com/pillars/iso-standards/</t>
        </is>
      </c>
    </row>
    <row r="12">
      <c r="A12" t="n">
        <v>1</v>
      </c>
      <c r="B12">
        <f>IF(INDEX($D$55:$D$92,F12)=1,INDEX($B$55:$B$92,F12),"")</f>
        <v/>
      </c>
      <c r="C12" s="6">
        <f>IF(INDEX($D$55:$D$92,F12)=1,INDEX($E$55:$E$92,F12),"")</f>
        <v/>
      </c>
      <c r="D12">
        <f>IF(INDEX($D$55:$D$92,F12)=1,INDEX($H$55:$H$92,F12),"")</f>
        <v/>
      </c>
      <c r="F12">
        <f>MATCH(A12,$G$55:$G$92,0)</f>
        <v/>
      </c>
      <c r="J12" t="inlineStr">
        <is>
          <t>no_dr_site</t>
        </is>
      </c>
      <c r="K12" s="7" t="inlineStr">
        <is>
          <t>There is no disaster recovery site or standby environment. Decide between cold, warm and hot standby based on your RTO.</t>
        </is>
      </c>
      <c r="L12" t="inlineStr">
        <is>
          <t>https://cyphrq.com/pillars/tools-respond/</t>
        </is>
      </c>
    </row>
    <row r="13">
      <c r="A13" t="n">
        <v>2</v>
      </c>
      <c r="B13">
        <f>IF(INDEX($D$55:$D$92,F13)=1,INDEX($B$55:$B$92,F13),"")</f>
        <v/>
      </c>
      <c r="C13" s="6">
        <f>IF(INDEX($D$55:$D$92,F13)=1,INDEX($E$55:$E$92,F13),"")</f>
        <v/>
      </c>
      <c r="D13">
        <f>IF(INDEX($D$55:$D$92,F13)=1,INDEX($H$55:$H$92,F13),"")</f>
        <v/>
      </c>
      <c r="F13">
        <f>MATCH(A13,$G$55:$G$92,0)</f>
        <v/>
      </c>
      <c r="J13" t="inlineStr">
        <is>
          <t>dr_test_overdue</t>
        </is>
      </c>
      <c r="K13" s="7" t="inlineStr">
        <is>
          <t>Disaster recovery has not been tested in the last 12 months. Run a failover test and time it against your RTO.</t>
        </is>
      </c>
      <c r="L13" t="inlineStr">
        <is>
          <t>https://cyphrq.com/pillars/tools-respond/</t>
        </is>
      </c>
    </row>
    <row r="14">
      <c r="A14" t="n">
        <v>3</v>
      </c>
      <c r="B14">
        <f>IF(INDEX($D$55:$D$92,F14)=1,INDEX($B$55:$B$92,F14),"")</f>
        <v/>
      </c>
      <c r="C14" s="6">
        <f>IF(INDEX($D$55:$D$92,F14)=1,INDEX($E$55:$E$92,F14),"")</f>
        <v/>
      </c>
      <c r="D14">
        <f>IF(INDEX($D$55:$D$92,F14)=1,INDEX($H$55:$H$92,F14),"")</f>
        <v/>
      </c>
      <c r="F14">
        <f>MATCH(A14,$G$55:$G$92,0)</f>
        <v/>
      </c>
      <c r="J14" t="inlineStr">
        <is>
          <t>backups_not_321</t>
        </is>
      </c>
      <c r="K14" s="7" t="inlineStr">
        <is>
          <t>Backups don't follow the 3-2-1 rule (three copies, two different media, one off-site). Add an off-site or immutable copy.</t>
        </is>
      </c>
      <c r="L14" t="inlineStr">
        <is>
          <t>https://cyphrq.com/pillars/tools-respond/</t>
        </is>
      </c>
    </row>
    <row r="15">
      <c r="A15" t="n">
        <v>4</v>
      </c>
      <c r="B15">
        <f>IF(INDEX($D$55:$D$92,F15)=1,INDEX($B$55:$B$92,F15),"")</f>
        <v/>
      </c>
      <c r="C15" s="6">
        <f>IF(INDEX($D$55:$D$92,F15)=1,INDEX($E$55:$E$92,F15),"")</f>
        <v/>
      </c>
      <c r="D15">
        <f>IF(INDEX($D$55:$D$92,F15)=1,INDEX($H$55:$H$92,F15),"")</f>
        <v/>
      </c>
      <c r="F15">
        <f>MATCH(A15,$G$55:$G$92,0)</f>
        <v/>
      </c>
      <c r="J15" t="inlineStr">
        <is>
          <t>tabletop_overdue</t>
        </is>
      </c>
      <c r="K15" s="7" t="inlineStr">
        <is>
          <t>No incident tabletop exercise in the last 12 months. Walk leaders through a ransomware scenario and note the decisions you couldn't make.</t>
        </is>
      </c>
      <c r="L15" t="inlineStr">
        <is>
          <t>https://cyphrq.com/pillars/tools-respond/</t>
        </is>
      </c>
    </row>
    <row r="16">
      <c r="A16" t="n">
        <v>5</v>
      </c>
      <c r="B16">
        <f>IF(INDEX($D$55:$D$92,F16)=1,INDEX($B$55:$B$92,F16),"")</f>
        <v/>
      </c>
      <c r="C16" s="6">
        <f>IF(INDEX($D$55:$D$92,F16)=1,INDEX($E$55:$E$92,F16),"")</f>
        <v/>
      </c>
      <c r="D16">
        <f>IF(INDEX($D$55:$D$92,F16)=1,INDEX($H$55:$H$92,F16),"")</f>
        <v/>
      </c>
      <c r="F16">
        <f>MATCH(A16,$G$55:$G$92,0)</f>
        <v/>
      </c>
      <c r="J16" t="inlineStr">
        <is>
          <t>asset_rto_unmet</t>
        </is>
      </c>
      <c r="K16" s="7" t="inlineStr">
        <is>
          <t>{asset}: restore takes longer than its RTO. Prioritise it in the recovery runbook or add standby capacity.</t>
        </is>
      </c>
      <c r="L16" t="inlineStr">
        <is>
          <t>https://cyphrq.com/pillars/tools-respond/</t>
        </is>
      </c>
    </row>
    <row r="17">
      <c r="A17" t="n">
        <v>6</v>
      </c>
      <c r="B17">
        <f>IF(INDEX($D$55:$D$92,F17)=1,INDEX($B$55:$B$92,F17),"")</f>
        <v/>
      </c>
      <c r="C17" s="6">
        <f>IF(INDEX($D$55:$D$92,F17)=1,INDEX($E$55:$E$92,F17),"")</f>
        <v/>
      </c>
      <c r="D17">
        <f>IF(INDEX($D$55:$D$92,F17)=1,INDEX($H$55:$H$92,F17),"")</f>
        <v/>
      </c>
      <c r="F17">
        <f>MATCH(A17,$G$55:$G$92,0)</f>
        <v/>
      </c>
      <c r="J17" t="inlineStr">
        <is>
          <t>asset_rpo_unmet</t>
        </is>
      </c>
      <c r="K17" s="7" t="inlineStr">
        <is>
          <t>{asset}: backups run less often than its RPO allows. Increase its backup or replication frequency.</t>
        </is>
      </c>
      <c r="L17" t="inlineStr">
        <is>
          <t>https://cyphrq.com/pillars/tools-respond/</t>
        </is>
      </c>
    </row>
    <row r="18">
      <c r="A18" t="n">
        <v>7</v>
      </c>
      <c r="B18">
        <f>IF(INDEX($D$55:$D$92,F18)=1,INDEX($B$55:$B$92,F18),"")</f>
        <v/>
      </c>
      <c r="C18" s="6">
        <f>IF(INDEX($D$55:$D$92,F18)=1,INDEX($E$55:$E$92,F18),"")</f>
        <v/>
      </c>
      <c r="D18">
        <f>IF(INDEX($D$55:$D$92,F18)=1,INDEX($H$55:$H$92,F18),"")</f>
        <v/>
      </c>
      <c r="F18">
        <f>MATCH(A18,$G$55:$G$92,0)</f>
        <v/>
      </c>
    </row>
    <row r="19">
      <c r="A19" t="n">
        <v>8</v>
      </c>
      <c r="B19">
        <f>IF(INDEX($D$55:$D$92,F19)=1,INDEX($B$55:$B$92,F19),"")</f>
        <v/>
      </c>
      <c r="C19" s="6">
        <f>IF(INDEX($D$55:$D$92,F19)=1,INDEX($E$55:$E$92,F19),"")</f>
        <v/>
      </c>
      <c r="D19">
        <f>IF(INDEX($D$55:$D$92,F19)=1,INDEX($H$55:$H$92,F19),"")</f>
        <v/>
      </c>
      <c r="F19">
        <f>MATCH(A19,$G$55:$G$92,0)</f>
        <v/>
      </c>
    </row>
    <row r="20">
      <c r="A20" t="n">
        <v>9</v>
      </c>
      <c r="B20">
        <f>IF(INDEX($D$55:$D$92,F20)=1,INDEX($B$55:$B$92,F20),"")</f>
        <v/>
      </c>
      <c r="C20" s="6">
        <f>IF(INDEX($D$55:$D$92,F20)=1,INDEX($E$55:$E$92,F20),"")</f>
        <v/>
      </c>
      <c r="D20">
        <f>IF(INDEX($D$55:$D$92,F20)=1,INDEX($H$55:$H$92,F20),"")</f>
        <v/>
      </c>
      <c r="F20">
        <f>MATCH(A20,$G$55:$G$92,0)</f>
        <v/>
      </c>
    </row>
    <row r="21">
      <c r="A21" t="n">
        <v>10</v>
      </c>
      <c r="B21">
        <f>IF(INDEX($D$55:$D$92,F21)=1,INDEX($B$55:$B$92,F21),"")</f>
        <v/>
      </c>
      <c r="C21" s="6">
        <f>IF(INDEX($D$55:$D$92,F21)=1,INDEX($E$55:$E$92,F21),"")</f>
        <v/>
      </c>
      <c r="D21">
        <f>IF(INDEX($D$55:$D$92,F21)=1,INDEX($H$55:$H$92,F21),"")</f>
        <v/>
      </c>
      <c r="F21">
        <f>MATCH(A21,$G$55:$G$92,0)</f>
        <v/>
      </c>
    </row>
    <row r="22">
      <c r="A22" t="n">
        <v>11</v>
      </c>
      <c r="B22">
        <f>IF(INDEX($D$55:$D$92,F22)=1,INDEX($B$55:$B$92,F22),"")</f>
        <v/>
      </c>
      <c r="C22" s="6">
        <f>IF(INDEX($D$55:$D$92,F22)=1,INDEX($E$55:$E$92,F22),"")</f>
        <v/>
      </c>
      <c r="D22">
        <f>IF(INDEX($D$55:$D$92,F22)=1,INDEX($H$55:$H$92,F22),"")</f>
        <v/>
      </c>
      <c r="F22">
        <f>MATCH(A22,$G$55:$G$92,0)</f>
        <v/>
      </c>
    </row>
    <row r="23">
      <c r="A23" t="n">
        <v>12</v>
      </c>
      <c r="B23">
        <f>IF(INDEX($D$55:$D$92,F23)=1,INDEX($B$55:$B$92,F23),"")</f>
        <v/>
      </c>
      <c r="C23" s="6">
        <f>IF(INDEX($D$55:$D$92,F23)=1,INDEX($E$55:$E$92,F23),"")</f>
        <v/>
      </c>
      <c r="D23">
        <f>IF(INDEX($D$55:$D$92,F23)=1,INDEX($H$55:$H$92,F23),"")</f>
        <v/>
      </c>
      <c r="F23">
        <f>MATCH(A23,$G$55:$G$92,0)</f>
        <v/>
      </c>
    </row>
    <row r="24">
      <c r="A24" t="n">
        <v>13</v>
      </c>
      <c r="B24">
        <f>IF(INDEX($D$55:$D$92,F24)=1,INDEX($B$55:$B$92,F24),"")</f>
        <v/>
      </c>
      <c r="C24" s="6">
        <f>IF(INDEX($D$55:$D$92,F24)=1,INDEX($E$55:$E$92,F24),"")</f>
        <v/>
      </c>
      <c r="D24">
        <f>IF(INDEX($D$55:$D$92,F24)=1,INDEX($H$55:$H$92,F24),"")</f>
        <v/>
      </c>
      <c r="F24">
        <f>MATCH(A24,$G$55:$G$92,0)</f>
        <v/>
      </c>
    </row>
    <row r="25">
      <c r="A25" t="n">
        <v>14</v>
      </c>
      <c r="B25">
        <f>IF(INDEX($D$55:$D$92,F25)=1,INDEX($B$55:$B$92,F25),"")</f>
        <v/>
      </c>
      <c r="C25" s="6">
        <f>IF(INDEX($D$55:$D$92,F25)=1,INDEX($E$55:$E$92,F25),"")</f>
        <v/>
      </c>
      <c r="D25">
        <f>IF(INDEX($D$55:$D$92,F25)=1,INDEX($H$55:$H$92,F25),"")</f>
        <v/>
      </c>
      <c r="F25">
        <f>MATCH(A25,$G$55:$G$92,0)</f>
        <v/>
      </c>
    </row>
    <row r="26">
      <c r="A26" t="n">
        <v>15</v>
      </c>
      <c r="B26">
        <f>IF(INDEX($D$55:$D$92,F26)=1,INDEX($B$55:$B$92,F26),"")</f>
        <v/>
      </c>
      <c r="C26" s="6">
        <f>IF(INDEX($D$55:$D$92,F26)=1,INDEX($E$55:$E$92,F26),"")</f>
        <v/>
      </c>
      <c r="D26">
        <f>IF(INDEX($D$55:$D$92,F26)=1,INDEX($H$55:$H$92,F26),"")</f>
        <v/>
      </c>
      <c r="F26">
        <f>MATCH(A26,$G$55:$G$92,0)</f>
        <v/>
      </c>
    </row>
    <row r="27">
      <c r="A27" t="n">
        <v>16</v>
      </c>
      <c r="B27">
        <f>IF(INDEX($D$55:$D$92,F27)=1,INDEX($B$55:$B$92,F27),"")</f>
        <v/>
      </c>
      <c r="C27" s="6">
        <f>IF(INDEX($D$55:$D$92,F27)=1,INDEX($E$55:$E$92,F27),"")</f>
        <v/>
      </c>
      <c r="D27">
        <f>IF(INDEX($D$55:$D$92,F27)=1,INDEX($H$55:$H$92,F27),"")</f>
        <v/>
      </c>
      <c r="F27">
        <f>MATCH(A27,$G$55:$G$92,0)</f>
        <v/>
      </c>
    </row>
    <row r="28">
      <c r="A28" t="n">
        <v>17</v>
      </c>
      <c r="B28">
        <f>IF(INDEX($D$55:$D$92,F28)=1,INDEX($B$55:$B$92,F28),"")</f>
        <v/>
      </c>
      <c r="C28" s="6">
        <f>IF(INDEX($D$55:$D$92,F28)=1,INDEX($E$55:$E$92,F28),"")</f>
        <v/>
      </c>
      <c r="D28">
        <f>IF(INDEX($D$55:$D$92,F28)=1,INDEX($H$55:$H$92,F28),"")</f>
        <v/>
      </c>
      <c r="F28">
        <f>MATCH(A28,$G$55:$G$92,0)</f>
        <v/>
      </c>
    </row>
    <row r="29">
      <c r="A29" t="n">
        <v>18</v>
      </c>
      <c r="B29">
        <f>IF(INDEX($D$55:$D$92,F29)=1,INDEX($B$55:$B$92,F29),"")</f>
        <v/>
      </c>
      <c r="C29" s="6">
        <f>IF(INDEX($D$55:$D$92,F29)=1,INDEX($E$55:$E$92,F29),"")</f>
        <v/>
      </c>
      <c r="D29">
        <f>IF(INDEX($D$55:$D$92,F29)=1,INDEX($H$55:$H$92,F29),"")</f>
        <v/>
      </c>
      <c r="F29">
        <f>MATCH(A29,$G$55:$G$92,0)</f>
        <v/>
      </c>
    </row>
    <row r="30">
      <c r="A30" t="n">
        <v>19</v>
      </c>
      <c r="B30">
        <f>IF(INDEX($D$55:$D$92,F30)=1,INDEX($B$55:$B$92,F30),"")</f>
        <v/>
      </c>
      <c r="C30" s="6">
        <f>IF(INDEX($D$55:$D$92,F30)=1,INDEX($E$55:$E$92,F30),"")</f>
        <v/>
      </c>
      <c r="D30">
        <f>IF(INDEX($D$55:$D$92,F30)=1,INDEX($H$55:$H$92,F30),"")</f>
        <v/>
      </c>
      <c r="F30">
        <f>MATCH(A30,$G$55:$G$92,0)</f>
        <v/>
      </c>
    </row>
    <row r="31">
      <c r="A31" t="n">
        <v>20</v>
      </c>
      <c r="B31">
        <f>IF(INDEX($D$55:$D$92,F31)=1,INDEX($B$55:$B$92,F31),"")</f>
        <v/>
      </c>
      <c r="C31" s="6">
        <f>IF(INDEX($D$55:$D$92,F31)=1,INDEX($E$55:$E$92,F31),"")</f>
        <v/>
      </c>
      <c r="D31">
        <f>IF(INDEX($D$55:$D$92,F31)=1,INDEX($H$55:$H$92,F31),"")</f>
        <v/>
      </c>
      <c r="F31">
        <f>MATCH(A31,$G$55:$G$92,0)</f>
        <v/>
      </c>
    </row>
    <row r="32">
      <c r="A32" t="n">
        <v>21</v>
      </c>
      <c r="B32">
        <f>IF(INDEX($D$55:$D$92,F32)=1,INDEX($B$55:$B$92,F32),"")</f>
        <v/>
      </c>
      <c r="C32" s="6">
        <f>IF(INDEX($D$55:$D$92,F32)=1,INDEX($E$55:$E$92,F32),"")</f>
        <v/>
      </c>
      <c r="D32">
        <f>IF(INDEX($D$55:$D$92,F32)=1,INDEX($H$55:$H$92,F32),"")</f>
        <v/>
      </c>
      <c r="F32">
        <f>MATCH(A32,$G$55:$G$92,0)</f>
        <v/>
      </c>
    </row>
    <row r="33">
      <c r="A33" t="n">
        <v>22</v>
      </c>
      <c r="B33">
        <f>IF(INDEX($D$55:$D$92,F33)=1,INDEX($B$55:$B$92,F33),"")</f>
        <v/>
      </c>
      <c r="C33" s="6">
        <f>IF(INDEX($D$55:$D$92,F33)=1,INDEX($E$55:$E$92,F33),"")</f>
        <v/>
      </c>
      <c r="D33">
        <f>IF(INDEX($D$55:$D$92,F33)=1,INDEX($H$55:$H$92,F33),"")</f>
        <v/>
      </c>
      <c r="F33">
        <f>MATCH(A33,$G$55:$G$92,0)</f>
        <v/>
      </c>
    </row>
    <row r="34">
      <c r="A34" t="n">
        <v>23</v>
      </c>
      <c r="B34">
        <f>IF(INDEX($D$55:$D$92,F34)=1,INDEX($B$55:$B$92,F34),"")</f>
        <v/>
      </c>
      <c r="C34" s="6">
        <f>IF(INDEX($D$55:$D$92,F34)=1,INDEX($E$55:$E$92,F34),"")</f>
        <v/>
      </c>
      <c r="D34">
        <f>IF(INDEX($D$55:$D$92,F34)=1,INDEX($H$55:$H$92,F34),"")</f>
        <v/>
      </c>
      <c r="F34">
        <f>MATCH(A34,$G$55:$G$92,0)</f>
        <v/>
      </c>
    </row>
    <row r="35">
      <c r="A35" t="n">
        <v>24</v>
      </c>
      <c r="B35">
        <f>IF(INDEX($D$55:$D$92,F35)=1,INDEX($B$55:$B$92,F35),"")</f>
        <v/>
      </c>
      <c r="C35" s="6">
        <f>IF(INDEX($D$55:$D$92,F35)=1,INDEX($E$55:$E$92,F35),"")</f>
        <v/>
      </c>
      <c r="D35">
        <f>IF(INDEX($D$55:$D$92,F35)=1,INDEX($H$55:$H$92,F35),"")</f>
        <v/>
      </c>
      <c r="F35">
        <f>MATCH(A35,$G$55:$G$92,0)</f>
        <v/>
      </c>
    </row>
    <row r="36">
      <c r="A36" t="n">
        <v>25</v>
      </c>
      <c r="B36">
        <f>IF(INDEX($D$55:$D$92,F36)=1,INDEX($B$55:$B$92,F36),"")</f>
        <v/>
      </c>
      <c r="C36" s="6">
        <f>IF(INDEX($D$55:$D$92,F36)=1,INDEX($E$55:$E$92,F36),"")</f>
        <v/>
      </c>
      <c r="D36">
        <f>IF(INDEX($D$55:$D$92,F36)=1,INDEX($H$55:$H$92,F36),"")</f>
        <v/>
      </c>
      <c r="F36">
        <f>MATCH(A36,$G$55:$G$92,0)</f>
        <v/>
      </c>
    </row>
    <row r="37">
      <c r="A37" t="n">
        <v>26</v>
      </c>
      <c r="B37">
        <f>IF(INDEX($D$55:$D$92,F37)=1,INDEX($B$55:$B$92,F37),"")</f>
        <v/>
      </c>
      <c r="C37" s="6">
        <f>IF(INDEX($D$55:$D$92,F37)=1,INDEX($E$55:$E$92,F37),"")</f>
        <v/>
      </c>
      <c r="D37">
        <f>IF(INDEX($D$55:$D$92,F37)=1,INDEX($H$55:$H$92,F37),"")</f>
        <v/>
      </c>
      <c r="F37">
        <f>MATCH(A37,$G$55:$G$92,0)</f>
        <v/>
      </c>
    </row>
    <row r="38">
      <c r="A38" t="n">
        <v>27</v>
      </c>
      <c r="B38">
        <f>IF(INDEX($D$55:$D$92,F38)=1,INDEX($B$55:$B$92,F38),"")</f>
        <v/>
      </c>
      <c r="C38" s="6">
        <f>IF(INDEX($D$55:$D$92,F38)=1,INDEX($E$55:$E$92,F38),"")</f>
        <v/>
      </c>
      <c r="D38">
        <f>IF(INDEX($D$55:$D$92,F38)=1,INDEX($H$55:$H$92,F38),"")</f>
        <v/>
      </c>
      <c r="F38">
        <f>MATCH(A38,$G$55:$G$92,0)</f>
        <v/>
      </c>
    </row>
    <row r="39">
      <c r="A39" t="n">
        <v>28</v>
      </c>
      <c r="B39">
        <f>IF(INDEX($D$55:$D$92,F39)=1,INDEX($B$55:$B$92,F39),"")</f>
        <v/>
      </c>
      <c r="C39" s="6">
        <f>IF(INDEX($D$55:$D$92,F39)=1,INDEX($E$55:$E$92,F39),"")</f>
        <v/>
      </c>
      <c r="D39">
        <f>IF(INDEX($D$55:$D$92,F39)=1,INDEX($H$55:$H$92,F39),"")</f>
        <v/>
      </c>
      <c r="F39">
        <f>MATCH(A39,$G$55:$G$92,0)</f>
        <v/>
      </c>
    </row>
    <row r="40">
      <c r="A40" t="n">
        <v>29</v>
      </c>
      <c r="B40">
        <f>IF(INDEX($D$55:$D$92,F40)=1,INDEX($B$55:$B$92,F40),"")</f>
        <v/>
      </c>
      <c r="C40" s="6">
        <f>IF(INDEX($D$55:$D$92,F40)=1,INDEX($E$55:$E$92,F40),"")</f>
        <v/>
      </c>
      <c r="D40">
        <f>IF(INDEX($D$55:$D$92,F40)=1,INDEX($H$55:$H$92,F40),"")</f>
        <v/>
      </c>
      <c r="F40">
        <f>MATCH(A40,$G$55:$G$92,0)</f>
        <v/>
      </c>
    </row>
    <row r="41">
      <c r="A41" t="n">
        <v>30</v>
      </c>
      <c r="B41">
        <f>IF(INDEX($D$55:$D$92,F41)=1,INDEX($B$55:$B$92,F41),"")</f>
        <v/>
      </c>
      <c r="C41" s="6">
        <f>IF(INDEX($D$55:$D$92,F41)=1,INDEX($E$55:$E$92,F41),"")</f>
        <v/>
      </c>
      <c r="D41">
        <f>IF(INDEX($D$55:$D$92,F41)=1,INDEX($H$55:$H$92,F41),"")</f>
        <v/>
      </c>
      <c r="F41">
        <f>MATCH(A41,$G$55:$G$92,0)</f>
        <v/>
      </c>
    </row>
    <row r="42">
      <c r="A42" t="n">
        <v>31</v>
      </c>
      <c r="B42">
        <f>IF(INDEX($D$55:$D$92,F42)=1,INDEX($B$55:$B$92,F42),"")</f>
        <v/>
      </c>
      <c r="C42" s="6">
        <f>IF(INDEX($D$55:$D$92,F42)=1,INDEX($E$55:$E$92,F42),"")</f>
        <v/>
      </c>
      <c r="D42">
        <f>IF(INDEX($D$55:$D$92,F42)=1,INDEX($H$55:$H$92,F42),"")</f>
        <v/>
      </c>
      <c r="F42">
        <f>MATCH(A42,$G$55:$G$92,0)</f>
        <v/>
      </c>
    </row>
    <row r="43">
      <c r="A43" t="n">
        <v>32</v>
      </c>
      <c r="B43">
        <f>IF(INDEX($D$55:$D$92,F43)=1,INDEX($B$55:$B$92,F43),"")</f>
        <v/>
      </c>
      <c r="C43" s="6">
        <f>IF(INDEX($D$55:$D$92,F43)=1,INDEX($E$55:$E$92,F43),"")</f>
        <v/>
      </c>
      <c r="D43">
        <f>IF(INDEX($D$55:$D$92,F43)=1,INDEX($H$55:$H$92,F43),"")</f>
        <v/>
      </c>
      <c r="F43">
        <f>MATCH(A43,$G$55:$G$92,0)</f>
        <v/>
      </c>
    </row>
    <row r="44">
      <c r="A44" t="n">
        <v>33</v>
      </c>
      <c r="B44">
        <f>IF(INDEX($D$55:$D$92,F44)=1,INDEX($B$55:$B$92,F44),"")</f>
        <v/>
      </c>
      <c r="C44" s="6">
        <f>IF(INDEX($D$55:$D$92,F44)=1,INDEX($E$55:$E$92,F44),"")</f>
        <v/>
      </c>
      <c r="D44">
        <f>IF(INDEX($D$55:$D$92,F44)=1,INDEX($H$55:$H$92,F44),"")</f>
        <v/>
      </c>
      <c r="F44">
        <f>MATCH(A44,$G$55:$G$92,0)</f>
        <v/>
      </c>
    </row>
    <row r="45">
      <c r="A45" t="n">
        <v>34</v>
      </c>
      <c r="B45">
        <f>IF(INDEX($D$55:$D$92,F45)=1,INDEX($B$55:$B$92,F45),"")</f>
        <v/>
      </c>
      <c r="C45" s="6">
        <f>IF(INDEX($D$55:$D$92,F45)=1,INDEX($E$55:$E$92,F45),"")</f>
        <v/>
      </c>
      <c r="D45">
        <f>IF(INDEX($D$55:$D$92,F45)=1,INDEX($H$55:$H$92,F45),"")</f>
        <v/>
      </c>
      <c r="F45">
        <f>MATCH(A45,$G$55:$G$92,0)</f>
        <v/>
      </c>
    </row>
    <row r="46">
      <c r="A46" t="n">
        <v>35</v>
      </c>
      <c r="B46">
        <f>IF(INDEX($D$55:$D$92,F46)=1,INDEX($B$55:$B$92,F46),"")</f>
        <v/>
      </c>
      <c r="C46" s="6">
        <f>IF(INDEX($D$55:$D$92,F46)=1,INDEX($E$55:$E$92,F46),"")</f>
        <v/>
      </c>
      <c r="D46">
        <f>IF(INDEX($D$55:$D$92,F46)=1,INDEX($H$55:$H$92,F46),"")</f>
        <v/>
      </c>
      <c r="F46">
        <f>MATCH(A46,$G$55:$G$92,0)</f>
        <v/>
      </c>
    </row>
    <row r="47">
      <c r="A47" t="n">
        <v>36</v>
      </c>
      <c r="B47">
        <f>IF(INDEX($D$55:$D$92,F47)=1,INDEX($B$55:$B$92,F47),"")</f>
        <v/>
      </c>
      <c r="C47" s="6">
        <f>IF(INDEX($D$55:$D$92,F47)=1,INDEX($E$55:$E$92,F47),"")</f>
        <v/>
      </c>
      <c r="D47">
        <f>IF(INDEX($D$55:$D$92,F47)=1,INDEX($H$55:$H$92,F47),"")</f>
        <v/>
      </c>
      <c r="F47">
        <f>MATCH(A47,$G$55:$G$92,0)</f>
        <v/>
      </c>
    </row>
    <row r="48">
      <c r="A48" t="n">
        <v>37</v>
      </c>
      <c r="B48">
        <f>IF(INDEX($D$55:$D$92,F48)=1,INDEX($B$55:$B$92,F48),"")</f>
        <v/>
      </c>
      <c r="C48" s="6">
        <f>IF(INDEX($D$55:$D$92,F48)=1,INDEX($E$55:$E$92,F48),"")</f>
        <v/>
      </c>
      <c r="D48">
        <f>IF(INDEX($D$55:$D$92,F48)=1,INDEX($H$55:$H$92,F48),"")</f>
        <v/>
      </c>
      <c r="F48">
        <f>MATCH(A48,$G$55:$G$92,0)</f>
        <v/>
      </c>
    </row>
    <row r="49">
      <c r="A49" t="n">
        <v>38</v>
      </c>
      <c r="B49">
        <f>IF(INDEX($D$55:$D$92,F49)=1,INDEX($B$55:$B$92,F49),"")</f>
        <v/>
      </c>
      <c r="C49" s="6">
        <f>IF(INDEX($D$55:$D$92,F49)=1,INDEX($E$55:$E$92,F49),"")</f>
        <v/>
      </c>
      <c r="D49">
        <f>IF(INDEX($D$55:$D$92,F49)=1,INDEX($H$55:$H$92,F49),"")</f>
        <v/>
      </c>
      <c r="F49">
        <f>MATCH(A49,$G$55:$G$92,0)</f>
        <v/>
      </c>
    </row>
    <row r="53">
      <c r="A53" s="4" t="inlineStr">
        <is>
          <t>Working: one row per rule, in the model's order (asset rules, then overall recovery rules, then asset recovery rules)</t>
        </is>
      </c>
    </row>
    <row r="54">
      <c r="A54" s="11" t="inlineStr">
        <is>
          <t>No.</t>
        </is>
      </c>
      <c r="B54" s="11" t="inlineStr">
        <is>
          <t>Asset</t>
        </is>
      </c>
      <c r="C54" s="11" t="inlineStr">
        <is>
          <t>Rule</t>
        </is>
      </c>
      <c r="D54" s="11" t="inlineStr">
        <is>
          <t>Applies (1/0)</t>
        </is>
      </c>
      <c r="E54" s="11" t="inlineStr">
        <is>
          <t>Text</t>
        </is>
      </c>
      <c r="F54" s="11" t="inlineStr">
        <is>
          <t>Sort key</t>
        </is>
      </c>
      <c r="G54" s="11" t="inlineStr">
        <is>
          <t>Rank</t>
        </is>
      </c>
      <c r="H54" s="11" t="inlineStr">
        <is>
          <t>Page</t>
        </is>
      </c>
    </row>
    <row r="55">
      <c r="A55" t="n">
        <v>1</v>
      </c>
      <c r="B55">
        <f>'Exposure analysis'!A4</f>
        <v/>
      </c>
      <c r="C55" t="inlineStr">
        <is>
          <t>exposure_exceeds_value</t>
        </is>
      </c>
      <c r="D55">
        <f>IF(B55="",0,IF(AND('Exposure analysis'!B4&lt;&gt;0,'Exposure analysis'!C4&gt;'Exposure analysis'!B4),1,0))</f>
        <v/>
      </c>
      <c r="E55">
        <f>IF(D55=1,SUBSTITUTE($K$4,"{asset}",B55),"")</f>
        <v/>
      </c>
      <c r="F55">
        <f>IF(D55=1,A55,1000+A55)</f>
        <v/>
      </c>
      <c r="G55">
        <f>RANK(F55,$F$55:$F$92,1)</f>
        <v/>
      </c>
      <c r="H55">
        <f>$L$4</f>
        <v/>
      </c>
    </row>
    <row r="56">
      <c r="A56" t="n">
        <v>2</v>
      </c>
      <c r="B56">
        <f>'Exposure analysis'!A4</f>
        <v/>
      </c>
      <c r="C56" t="inlineStr">
        <is>
          <t>internet_facing_high</t>
        </is>
      </c>
      <c r="D56">
        <f>IF(B56="",0,IF(AND(Assets!G4="Yes",'Exposure analysis'!I4="High"),1,0))</f>
        <v/>
      </c>
      <c r="E56">
        <f>IF(D56=1,SUBSTITUTE($K$5,"{asset}",B56),"")</f>
        <v/>
      </c>
      <c r="F56">
        <f>IF(D56=1,A56,1000+A56)</f>
        <v/>
      </c>
      <c r="G56">
        <f>RANK(F56,$F$55:$F$92,1)</f>
        <v/>
      </c>
      <c r="H56">
        <f>$L$5</f>
        <v/>
      </c>
    </row>
    <row r="57">
      <c r="A57" t="n">
        <v>3</v>
      </c>
      <c r="B57">
        <f>'Exposure analysis'!A4</f>
        <v/>
      </c>
      <c r="C57" t="inlineStr">
        <is>
          <t>sensitive_unprotected</t>
        </is>
      </c>
      <c r="D57">
        <f>IF(B57="",0,IF(AND(OR(Assets!F4="Confidential",Assets!F4="Restricted"),Readiness!B18&lt;&gt;"Yes"),1,0))</f>
        <v/>
      </c>
      <c r="E57">
        <f>IF(D57=1,SUBSTITUTE($K$6,"{asset}",B57),"")</f>
        <v/>
      </c>
      <c r="F57">
        <f>IF(D57=1,A57,1000+A57)</f>
        <v/>
      </c>
      <c r="G57">
        <f>RANK(F57,$F$55:$F$92,1)</f>
        <v/>
      </c>
      <c r="H57">
        <f>$L$6</f>
        <v/>
      </c>
    </row>
    <row r="58">
      <c r="A58" t="n">
        <v>4</v>
      </c>
      <c r="B58">
        <f>'Exposure analysis'!A4</f>
        <v/>
      </c>
      <c r="C58" t="inlineStr">
        <is>
          <t>slow_untested_restore</t>
        </is>
      </c>
      <c r="D58">
        <f>IF(B58="",0,IF(AND(IF(ISNUMBER(Assets!E4),Assets!E4,0)&gt;'Model settings'!$B$53,Readiness!B15&lt;&gt;"Yes"),1,0))</f>
        <v/>
      </c>
      <c r="E58">
        <f>IF(D58=1,SUBSTITUTE($K$7,"{asset}",B58),"")</f>
        <v/>
      </c>
      <c r="F58">
        <f>IF(D58=1,A58,1000+A58)</f>
        <v/>
      </c>
      <c r="G58">
        <f>RANK(F58,$F$55:$F$92,1)</f>
        <v/>
      </c>
      <c r="H58">
        <f>$L$7</f>
        <v/>
      </c>
    </row>
    <row r="59">
      <c r="A59" t="n">
        <v>5</v>
      </c>
      <c r="B59">
        <f>'Exposure analysis'!A5</f>
        <v/>
      </c>
      <c r="C59" t="inlineStr">
        <is>
          <t>exposure_exceeds_value</t>
        </is>
      </c>
      <c r="D59">
        <f>IF(B59="",0,IF(AND('Exposure analysis'!B5&lt;&gt;0,'Exposure analysis'!C5&gt;'Exposure analysis'!B5),1,0))</f>
        <v/>
      </c>
      <c r="E59">
        <f>IF(D59=1,SUBSTITUTE($K$4,"{asset}",B59),"")</f>
        <v/>
      </c>
      <c r="F59">
        <f>IF(D59=1,A59,1000+A59)</f>
        <v/>
      </c>
      <c r="G59">
        <f>RANK(F59,$F$55:$F$92,1)</f>
        <v/>
      </c>
      <c r="H59">
        <f>$L$4</f>
        <v/>
      </c>
    </row>
    <row r="60">
      <c r="A60" t="n">
        <v>6</v>
      </c>
      <c r="B60">
        <f>'Exposure analysis'!A5</f>
        <v/>
      </c>
      <c r="C60" t="inlineStr">
        <is>
          <t>internet_facing_high</t>
        </is>
      </c>
      <c r="D60">
        <f>IF(B60="",0,IF(AND(Assets!G5="Yes",'Exposure analysis'!I5="High"),1,0))</f>
        <v/>
      </c>
      <c r="E60">
        <f>IF(D60=1,SUBSTITUTE($K$5,"{asset}",B60),"")</f>
        <v/>
      </c>
      <c r="F60">
        <f>IF(D60=1,A60,1000+A60)</f>
        <v/>
      </c>
      <c r="G60">
        <f>RANK(F60,$F$55:$F$92,1)</f>
        <v/>
      </c>
      <c r="H60">
        <f>$L$5</f>
        <v/>
      </c>
    </row>
    <row r="61">
      <c r="A61" t="n">
        <v>7</v>
      </c>
      <c r="B61">
        <f>'Exposure analysis'!A5</f>
        <v/>
      </c>
      <c r="C61" t="inlineStr">
        <is>
          <t>sensitive_unprotected</t>
        </is>
      </c>
      <c r="D61">
        <f>IF(B61="",0,IF(AND(OR(Assets!F5="Confidential",Assets!F5="Restricted"),Readiness!B18&lt;&gt;"Yes"),1,0))</f>
        <v/>
      </c>
      <c r="E61">
        <f>IF(D61=1,SUBSTITUTE($K$6,"{asset}",B61),"")</f>
        <v/>
      </c>
      <c r="F61">
        <f>IF(D61=1,A61,1000+A61)</f>
        <v/>
      </c>
      <c r="G61">
        <f>RANK(F61,$F$55:$F$92,1)</f>
        <v/>
      </c>
      <c r="H61">
        <f>$L$6</f>
        <v/>
      </c>
    </row>
    <row r="62">
      <c r="A62" t="n">
        <v>8</v>
      </c>
      <c r="B62">
        <f>'Exposure analysis'!A5</f>
        <v/>
      </c>
      <c r="C62" t="inlineStr">
        <is>
          <t>slow_untested_restore</t>
        </is>
      </c>
      <c r="D62">
        <f>IF(B62="",0,IF(AND(IF(ISNUMBER(Assets!E5),Assets!E5,0)&gt;'Model settings'!$B$53,Readiness!B15&lt;&gt;"Yes"),1,0))</f>
        <v/>
      </c>
      <c r="E62">
        <f>IF(D62=1,SUBSTITUTE($K$7,"{asset}",B62),"")</f>
        <v/>
      </c>
      <c r="F62">
        <f>IF(D62=1,A62,1000+A62)</f>
        <v/>
      </c>
      <c r="G62">
        <f>RANK(F62,$F$55:$F$92,1)</f>
        <v/>
      </c>
      <c r="H62">
        <f>$L$7</f>
        <v/>
      </c>
    </row>
    <row r="63">
      <c r="A63" t="n">
        <v>9</v>
      </c>
      <c r="B63">
        <f>'Exposure analysis'!A6</f>
        <v/>
      </c>
      <c r="C63" t="inlineStr">
        <is>
          <t>exposure_exceeds_value</t>
        </is>
      </c>
      <c r="D63">
        <f>IF(B63="",0,IF(AND('Exposure analysis'!B6&lt;&gt;0,'Exposure analysis'!C6&gt;'Exposure analysis'!B6),1,0))</f>
        <v/>
      </c>
      <c r="E63">
        <f>IF(D63=1,SUBSTITUTE($K$4,"{asset}",B63),"")</f>
        <v/>
      </c>
      <c r="F63">
        <f>IF(D63=1,A63,1000+A63)</f>
        <v/>
      </c>
      <c r="G63">
        <f>RANK(F63,$F$55:$F$92,1)</f>
        <v/>
      </c>
      <c r="H63">
        <f>$L$4</f>
        <v/>
      </c>
    </row>
    <row r="64">
      <c r="A64" t="n">
        <v>10</v>
      </c>
      <c r="B64">
        <f>'Exposure analysis'!A6</f>
        <v/>
      </c>
      <c r="C64" t="inlineStr">
        <is>
          <t>internet_facing_high</t>
        </is>
      </c>
      <c r="D64">
        <f>IF(B64="",0,IF(AND(Assets!G6="Yes",'Exposure analysis'!I6="High"),1,0))</f>
        <v/>
      </c>
      <c r="E64">
        <f>IF(D64=1,SUBSTITUTE($K$5,"{asset}",B64),"")</f>
        <v/>
      </c>
      <c r="F64">
        <f>IF(D64=1,A64,1000+A64)</f>
        <v/>
      </c>
      <c r="G64">
        <f>RANK(F64,$F$55:$F$92,1)</f>
        <v/>
      </c>
      <c r="H64">
        <f>$L$5</f>
        <v/>
      </c>
    </row>
    <row r="65">
      <c r="A65" t="n">
        <v>11</v>
      </c>
      <c r="B65">
        <f>'Exposure analysis'!A6</f>
        <v/>
      </c>
      <c r="C65" t="inlineStr">
        <is>
          <t>sensitive_unprotected</t>
        </is>
      </c>
      <c r="D65">
        <f>IF(B65="",0,IF(AND(OR(Assets!F6="Confidential",Assets!F6="Restricted"),Readiness!B18&lt;&gt;"Yes"),1,0))</f>
        <v/>
      </c>
      <c r="E65">
        <f>IF(D65=1,SUBSTITUTE($K$6,"{asset}",B65),"")</f>
        <v/>
      </c>
      <c r="F65">
        <f>IF(D65=1,A65,1000+A65)</f>
        <v/>
      </c>
      <c r="G65">
        <f>RANK(F65,$F$55:$F$92,1)</f>
        <v/>
      </c>
      <c r="H65">
        <f>$L$6</f>
        <v/>
      </c>
    </row>
    <row r="66">
      <c r="A66" t="n">
        <v>12</v>
      </c>
      <c r="B66">
        <f>'Exposure analysis'!A6</f>
        <v/>
      </c>
      <c r="C66" t="inlineStr">
        <is>
          <t>slow_untested_restore</t>
        </is>
      </c>
      <c r="D66">
        <f>IF(B66="",0,IF(AND(IF(ISNUMBER(Assets!E6),Assets!E6,0)&gt;'Model settings'!$B$53,Readiness!B15&lt;&gt;"Yes"),1,0))</f>
        <v/>
      </c>
      <c r="E66">
        <f>IF(D66=1,SUBSTITUTE($K$7,"{asset}",B66),"")</f>
        <v/>
      </c>
      <c r="F66">
        <f>IF(D66=1,A66,1000+A66)</f>
        <v/>
      </c>
      <c r="G66">
        <f>RANK(F66,$F$55:$F$92,1)</f>
        <v/>
      </c>
      <c r="H66">
        <f>$L$7</f>
        <v/>
      </c>
    </row>
    <row r="67">
      <c r="A67" t="n">
        <v>13</v>
      </c>
      <c r="B67">
        <f>'Exposure analysis'!A7</f>
        <v/>
      </c>
      <c r="C67" t="inlineStr">
        <is>
          <t>exposure_exceeds_value</t>
        </is>
      </c>
      <c r="D67">
        <f>IF(B67="",0,IF(AND('Exposure analysis'!B7&lt;&gt;0,'Exposure analysis'!C7&gt;'Exposure analysis'!B7),1,0))</f>
        <v/>
      </c>
      <c r="E67">
        <f>IF(D67=1,SUBSTITUTE($K$4,"{asset}",B67),"")</f>
        <v/>
      </c>
      <c r="F67">
        <f>IF(D67=1,A67,1000+A67)</f>
        <v/>
      </c>
      <c r="G67">
        <f>RANK(F67,$F$55:$F$92,1)</f>
        <v/>
      </c>
      <c r="H67">
        <f>$L$4</f>
        <v/>
      </c>
    </row>
    <row r="68">
      <c r="A68" t="n">
        <v>14</v>
      </c>
      <c r="B68">
        <f>'Exposure analysis'!A7</f>
        <v/>
      </c>
      <c r="C68" t="inlineStr">
        <is>
          <t>internet_facing_high</t>
        </is>
      </c>
      <c r="D68">
        <f>IF(B68="",0,IF(AND(Assets!G7="Yes",'Exposure analysis'!I7="High"),1,0))</f>
        <v/>
      </c>
      <c r="E68">
        <f>IF(D68=1,SUBSTITUTE($K$5,"{asset}",B68),"")</f>
        <v/>
      </c>
      <c r="F68">
        <f>IF(D68=1,A68,1000+A68)</f>
        <v/>
      </c>
      <c r="G68">
        <f>RANK(F68,$F$55:$F$92,1)</f>
        <v/>
      </c>
      <c r="H68">
        <f>$L$5</f>
        <v/>
      </c>
    </row>
    <row r="69">
      <c r="A69" t="n">
        <v>15</v>
      </c>
      <c r="B69">
        <f>'Exposure analysis'!A7</f>
        <v/>
      </c>
      <c r="C69" t="inlineStr">
        <is>
          <t>sensitive_unprotected</t>
        </is>
      </c>
      <c r="D69">
        <f>IF(B69="",0,IF(AND(OR(Assets!F7="Confidential",Assets!F7="Restricted"),Readiness!B18&lt;&gt;"Yes"),1,0))</f>
        <v/>
      </c>
      <c r="E69">
        <f>IF(D69=1,SUBSTITUTE($K$6,"{asset}",B69),"")</f>
        <v/>
      </c>
      <c r="F69">
        <f>IF(D69=1,A69,1000+A69)</f>
        <v/>
      </c>
      <c r="G69">
        <f>RANK(F69,$F$55:$F$92,1)</f>
        <v/>
      </c>
      <c r="H69">
        <f>$L$6</f>
        <v/>
      </c>
    </row>
    <row r="70">
      <c r="A70" t="n">
        <v>16</v>
      </c>
      <c r="B70">
        <f>'Exposure analysis'!A7</f>
        <v/>
      </c>
      <c r="C70" t="inlineStr">
        <is>
          <t>slow_untested_restore</t>
        </is>
      </c>
      <c r="D70">
        <f>IF(B70="",0,IF(AND(IF(ISNUMBER(Assets!E7),Assets!E7,0)&gt;'Model settings'!$B$53,Readiness!B15&lt;&gt;"Yes"),1,0))</f>
        <v/>
      </c>
      <c r="E70">
        <f>IF(D70=1,SUBSTITUTE($K$7,"{asset}",B70),"")</f>
        <v/>
      </c>
      <c r="F70">
        <f>IF(D70=1,A70,1000+A70)</f>
        <v/>
      </c>
      <c r="G70">
        <f>RANK(F70,$F$55:$F$92,1)</f>
        <v/>
      </c>
      <c r="H70">
        <f>$L$7</f>
        <v/>
      </c>
    </row>
    <row r="71">
      <c r="A71" t="n">
        <v>17</v>
      </c>
      <c r="B71">
        <f>'Exposure analysis'!A8</f>
        <v/>
      </c>
      <c r="C71" t="inlineStr">
        <is>
          <t>exposure_exceeds_value</t>
        </is>
      </c>
      <c r="D71">
        <f>IF(B71="",0,IF(AND('Exposure analysis'!B8&lt;&gt;0,'Exposure analysis'!C8&gt;'Exposure analysis'!B8),1,0))</f>
        <v/>
      </c>
      <c r="E71">
        <f>IF(D71=1,SUBSTITUTE($K$4,"{asset}",B71),"")</f>
        <v/>
      </c>
      <c r="F71">
        <f>IF(D71=1,A71,1000+A71)</f>
        <v/>
      </c>
      <c r="G71">
        <f>RANK(F71,$F$55:$F$92,1)</f>
        <v/>
      </c>
      <c r="H71">
        <f>$L$4</f>
        <v/>
      </c>
    </row>
    <row r="72">
      <c r="A72" t="n">
        <v>18</v>
      </c>
      <c r="B72">
        <f>'Exposure analysis'!A8</f>
        <v/>
      </c>
      <c r="C72" t="inlineStr">
        <is>
          <t>internet_facing_high</t>
        </is>
      </c>
      <c r="D72">
        <f>IF(B72="",0,IF(AND(Assets!G8="Yes",'Exposure analysis'!I8="High"),1,0))</f>
        <v/>
      </c>
      <c r="E72">
        <f>IF(D72=1,SUBSTITUTE($K$5,"{asset}",B72),"")</f>
        <v/>
      </c>
      <c r="F72">
        <f>IF(D72=1,A72,1000+A72)</f>
        <v/>
      </c>
      <c r="G72">
        <f>RANK(F72,$F$55:$F$92,1)</f>
        <v/>
      </c>
      <c r="H72">
        <f>$L$5</f>
        <v/>
      </c>
    </row>
    <row r="73">
      <c r="A73" t="n">
        <v>19</v>
      </c>
      <c r="B73">
        <f>'Exposure analysis'!A8</f>
        <v/>
      </c>
      <c r="C73" t="inlineStr">
        <is>
          <t>sensitive_unprotected</t>
        </is>
      </c>
      <c r="D73">
        <f>IF(B73="",0,IF(AND(OR(Assets!F8="Confidential",Assets!F8="Restricted"),Readiness!B18&lt;&gt;"Yes"),1,0))</f>
        <v/>
      </c>
      <c r="E73">
        <f>IF(D73=1,SUBSTITUTE($K$6,"{asset}",B73),"")</f>
        <v/>
      </c>
      <c r="F73">
        <f>IF(D73=1,A73,1000+A73)</f>
        <v/>
      </c>
      <c r="G73">
        <f>RANK(F73,$F$55:$F$92,1)</f>
        <v/>
      </c>
      <c r="H73">
        <f>$L$6</f>
        <v/>
      </c>
    </row>
    <row r="74">
      <c r="A74" t="n">
        <v>20</v>
      </c>
      <c r="B74">
        <f>'Exposure analysis'!A8</f>
        <v/>
      </c>
      <c r="C74" t="inlineStr">
        <is>
          <t>slow_untested_restore</t>
        </is>
      </c>
      <c r="D74">
        <f>IF(B74="",0,IF(AND(IF(ISNUMBER(Assets!E8),Assets!E8,0)&gt;'Model settings'!$B$53,Readiness!B15&lt;&gt;"Yes"),1,0))</f>
        <v/>
      </c>
      <c r="E74">
        <f>IF(D74=1,SUBSTITUTE($K$7,"{asset}",B74),"")</f>
        <v/>
      </c>
      <c r="F74">
        <f>IF(D74=1,A74,1000+A74)</f>
        <v/>
      </c>
      <c r="G74">
        <f>RANK(F74,$F$55:$F$92,1)</f>
        <v/>
      </c>
      <c r="H74">
        <f>$L$7</f>
        <v/>
      </c>
    </row>
    <row r="75">
      <c r="A75" t="n">
        <v>21</v>
      </c>
      <c r="B75">
        <f>""</f>
        <v/>
      </c>
      <c r="C75" t="inlineStr">
        <is>
          <t>rto_unmet</t>
        </is>
      </c>
      <c r="D75">
        <f>IF(ISNUMBER(Resilience!$B$17),IF(Resilience!$B$17&gt;0,1,0),0)</f>
        <v/>
      </c>
      <c r="E75">
        <f>IF(D75=1,SUBSTITUTE($K$8,"{asset}",B75),"")</f>
        <v/>
      </c>
      <c r="F75">
        <f>IF(D75=1,A75,1000+A75)</f>
        <v/>
      </c>
      <c r="G75">
        <f>RANK(F75,$F$55:$F$92,1)</f>
        <v/>
      </c>
      <c r="H75">
        <f>$L$8</f>
        <v/>
      </c>
    </row>
    <row r="76">
      <c r="A76" t="n">
        <v>22</v>
      </c>
      <c r="B76">
        <f>""</f>
        <v/>
      </c>
      <c r="C76" t="inlineStr">
        <is>
          <t>rpo_unmet</t>
        </is>
      </c>
      <c r="D76">
        <f>IF(ISNUMBER(Resilience!$B$18),IF(Resilience!$B$18&gt;0,1,0),0)</f>
        <v/>
      </c>
      <c r="E76">
        <f>IF(D76=1,SUBSTITUTE($K$9,"{asset}",B76),"")</f>
        <v/>
      </c>
      <c r="F76">
        <f>IF(D76=1,A76,1000+A76)</f>
        <v/>
      </c>
      <c r="G76">
        <f>RANK(F76,$F$55:$F$92,1)</f>
        <v/>
      </c>
      <c r="H76">
        <f>$L$9</f>
        <v/>
      </c>
    </row>
    <row r="77">
      <c r="A77" t="n">
        <v>23</v>
      </c>
      <c r="B77">
        <f>""</f>
        <v/>
      </c>
      <c r="C77" t="inlineStr">
        <is>
          <t>no_bcp</t>
        </is>
      </c>
      <c r="D77">
        <f>IF(AND(Resilience!$B$15=1,Resilience!$B$26=0),1,0)</f>
        <v/>
      </c>
      <c r="E77">
        <f>IF(D77=1,SUBSTITUTE($K$10,"{asset}",B77),"")</f>
        <v/>
      </c>
      <c r="F77">
        <f>IF(D77=1,A77,1000+A77)</f>
        <v/>
      </c>
      <c r="G77">
        <f>RANK(F77,$F$55:$F$92,1)</f>
        <v/>
      </c>
      <c r="H77">
        <f>$L$10</f>
        <v/>
      </c>
    </row>
    <row r="78">
      <c r="A78" t="n">
        <v>24</v>
      </c>
      <c r="B78">
        <f>""</f>
        <v/>
      </c>
      <c r="C78" t="inlineStr">
        <is>
          <t>bcp_test_overdue</t>
        </is>
      </c>
      <c r="D78">
        <f>IF(AND(Resilience!$B$15=1,Resilience!$B$26=1,Resilience!$B$27=0),1,0)</f>
        <v/>
      </c>
      <c r="E78">
        <f>IF(D78=1,SUBSTITUTE($K$11,"{asset}",B78),"")</f>
        <v/>
      </c>
      <c r="F78">
        <f>IF(D78=1,A78,1000+A78)</f>
        <v/>
      </c>
      <c r="G78">
        <f>RANK(F78,$F$55:$F$92,1)</f>
        <v/>
      </c>
      <c r="H78">
        <f>$L$11</f>
        <v/>
      </c>
    </row>
    <row r="79">
      <c r="A79" t="n">
        <v>25</v>
      </c>
      <c r="B79">
        <f>""</f>
        <v/>
      </c>
      <c r="C79" t="inlineStr">
        <is>
          <t>no_dr_site</t>
        </is>
      </c>
      <c r="D79">
        <f>IF(AND(Resilience!$B$15=1,Resilience!$B$31=0),1,0)</f>
        <v/>
      </c>
      <c r="E79">
        <f>IF(D79=1,SUBSTITUTE($K$12,"{asset}",B79),"")</f>
        <v/>
      </c>
      <c r="F79">
        <f>IF(D79=1,A79,1000+A79)</f>
        <v/>
      </c>
      <c r="G79">
        <f>RANK(F79,$F$55:$F$92,1)</f>
        <v/>
      </c>
      <c r="H79">
        <f>$L$12</f>
        <v/>
      </c>
    </row>
    <row r="80">
      <c r="A80" t="n">
        <v>26</v>
      </c>
      <c r="B80">
        <f>""</f>
        <v/>
      </c>
      <c r="C80" t="inlineStr">
        <is>
          <t>dr_test_overdue</t>
        </is>
      </c>
      <c r="D80">
        <f>IF(AND(Resilience!$B$15=1,Resilience!$B$31=1,Resilience!$B$28=0),1,0)</f>
        <v/>
      </c>
      <c r="E80">
        <f>IF(D80=1,SUBSTITUTE($K$13,"{asset}",B80),"")</f>
        <v/>
      </c>
      <c r="F80">
        <f>IF(D80=1,A80,1000+A80)</f>
        <v/>
      </c>
      <c r="G80">
        <f>RANK(F80,$F$55:$F$92,1)</f>
        <v/>
      </c>
      <c r="H80">
        <f>$L$13</f>
        <v/>
      </c>
    </row>
    <row r="81">
      <c r="A81" t="n">
        <v>27</v>
      </c>
      <c r="B81">
        <f>""</f>
        <v/>
      </c>
      <c r="C81" t="inlineStr">
        <is>
          <t>backups_not_321</t>
        </is>
      </c>
      <c r="D81">
        <f>IF(AND(Resilience!$B$15=1,Resilience!$B$29=0),1,0)</f>
        <v/>
      </c>
      <c r="E81">
        <f>IF(D81=1,SUBSTITUTE($K$14,"{asset}",B81),"")</f>
        <v/>
      </c>
      <c r="F81">
        <f>IF(D81=1,A81,1000+A81)</f>
        <v/>
      </c>
      <c r="G81">
        <f>RANK(F81,$F$55:$F$92,1)</f>
        <v/>
      </c>
      <c r="H81">
        <f>$L$14</f>
        <v/>
      </c>
    </row>
    <row r="82">
      <c r="A82" t="n">
        <v>28</v>
      </c>
      <c r="B82">
        <f>""</f>
        <v/>
      </c>
      <c r="C82" t="inlineStr">
        <is>
          <t>tabletop_overdue</t>
        </is>
      </c>
      <c r="D82">
        <f>IF(AND(Resilience!$B$15=1,Resilience!$B$30=0),1,0)</f>
        <v/>
      </c>
      <c r="E82">
        <f>IF(D82=1,SUBSTITUTE($K$15,"{asset}",B82),"")</f>
        <v/>
      </c>
      <c r="F82">
        <f>IF(D82=1,A82,1000+A82)</f>
        <v/>
      </c>
      <c r="G82">
        <f>RANK(F82,$F$55:$F$92,1)</f>
        <v/>
      </c>
      <c r="H82">
        <f>$L$15</f>
        <v/>
      </c>
    </row>
    <row r="83">
      <c r="A83" t="n">
        <v>29</v>
      </c>
      <c r="B83">
        <f>'Exposure analysis'!A4</f>
        <v/>
      </c>
      <c r="C83" t="inlineStr">
        <is>
          <t>asset_rto_unmet</t>
        </is>
      </c>
      <c r="D83">
        <f>IF(B83="",0,IF(AND(Resilience!$B$15=1,ISNUMBER('Exposure analysis'!K4)),IF('Exposure analysis'!K4&gt;0,1,0),0))</f>
        <v/>
      </c>
      <c r="E83">
        <f>IF(D83=1,SUBSTITUTE($K$16,"{asset}",B83),"")</f>
        <v/>
      </c>
      <c r="F83">
        <f>IF(D83=1,A83,1000+A83)</f>
        <v/>
      </c>
      <c r="G83">
        <f>RANK(F83,$F$55:$F$92,1)</f>
        <v/>
      </c>
      <c r="H83">
        <f>$L$16</f>
        <v/>
      </c>
    </row>
    <row r="84">
      <c r="A84" t="n">
        <v>30</v>
      </c>
      <c r="B84">
        <f>'Exposure analysis'!A4</f>
        <v/>
      </c>
      <c r="C84" t="inlineStr">
        <is>
          <t>asset_rpo_unmet</t>
        </is>
      </c>
      <c r="D84">
        <f>IF(B84="",0,IF(AND(Resilience!$B$15=1,ISNUMBER('Exposure analysis'!L4)),IF('Exposure analysis'!L4&gt;0,1,0),0))</f>
        <v/>
      </c>
      <c r="E84">
        <f>IF(D84=1,SUBSTITUTE($K$17,"{asset}",B84),"")</f>
        <v/>
      </c>
      <c r="F84">
        <f>IF(D84=1,A84,1000+A84)</f>
        <v/>
      </c>
      <c r="G84">
        <f>RANK(F84,$F$55:$F$92,1)</f>
        <v/>
      </c>
      <c r="H84">
        <f>$L$17</f>
        <v/>
      </c>
    </row>
    <row r="85">
      <c r="A85" t="n">
        <v>31</v>
      </c>
      <c r="B85">
        <f>'Exposure analysis'!A5</f>
        <v/>
      </c>
      <c r="C85" t="inlineStr">
        <is>
          <t>asset_rto_unmet</t>
        </is>
      </c>
      <c r="D85">
        <f>IF(B85="",0,IF(AND(Resilience!$B$15=1,ISNUMBER('Exposure analysis'!K5)),IF('Exposure analysis'!K5&gt;0,1,0),0))</f>
        <v/>
      </c>
      <c r="E85">
        <f>IF(D85=1,SUBSTITUTE($K$16,"{asset}",B85),"")</f>
        <v/>
      </c>
      <c r="F85">
        <f>IF(D85=1,A85,1000+A85)</f>
        <v/>
      </c>
      <c r="G85">
        <f>RANK(F85,$F$55:$F$92,1)</f>
        <v/>
      </c>
      <c r="H85">
        <f>$L$16</f>
        <v/>
      </c>
    </row>
    <row r="86">
      <c r="A86" t="n">
        <v>32</v>
      </c>
      <c r="B86">
        <f>'Exposure analysis'!A5</f>
        <v/>
      </c>
      <c r="C86" t="inlineStr">
        <is>
          <t>asset_rpo_unmet</t>
        </is>
      </c>
      <c r="D86">
        <f>IF(B86="",0,IF(AND(Resilience!$B$15=1,ISNUMBER('Exposure analysis'!L5)),IF('Exposure analysis'!L5&gt;0,1,0),0))</f>
        <v/>
      </c>
      <c r="E86">
        <f>IF(D86=1,SUBSTITUTE($K$17,"{asset}",B86),"")</f>
        <v/>
      </c>
      <c r="F86">
        <f>IF(D86=1,A86,1000+A86)</f>
        <v/>
      </c>
      <c r="G86">
        <f>RANK(F86,$F$55:$F$92,1)</f>
        <v/>
      </c>
      <c r="H86">
        <f>$L$17</f>
        <v/>
      </c>
    </row>
    <row r="87">
      <c r="A87" t="n">
        <v>33</v>
      </c>
      <c r="B87">
        <f>'Exposure analysis'!A6</f>
        <v/>
      </c>
      <c r="C87" t="inlineStr">
        <is>
          <t>asset_rto_unmet</t>
        </is>
      </c>
      <c r="D87">
        <f>IF(B87="",0,IF(AND(Resilience!$B$15=1,ISNUMBER('Exposure analysis'!K6)),IF('Exposure analysis'!K6&gt;0,1,0),0))</f>
        <v/>
      </c>
      <c r="E87">
        <f>IF(D87=1,SUBSTITUTE($K$16,"{asset}",B87),"")</f>
        <v/>
      </c>
      <c r="F87">
        <f>IF(D87=1,A87,1000+A87)</f>
        <v/>
      </c>
      <c r="G87">
        <f>RANK(F87,$F$55:$F$92,1)</f>
        <v/>
      </c>
      <c r="H87">
        <f>$L$16</f>
        <v/>
      </c>
    </row>
    <row r="88">
      <c r="A88" t="n">
        <v>34</v>
      </c>
      <c r="B88">
        <f>'Exposure analysis'!A6</f>
        <v/>
      </c>
      <c r="C88" t="inlineStr">
        <is>
          <t>asset_rpo_unmet</t>
        </is>
      </c>
      <c r="D88">
        <f>IF(B88="",0,IF(AND(Resilience!$B$15=1,ISNUMBER('Exposure analysis'!L6)),IF('Exposure analysis'!L6&gt;0,1,0),0))</f>
        <v/>
      </c>
      <c r="E88">
        <f>IF(D88=1,SUBSTITUTE($K$17,"{asset}",B88),"")</f>
        <v/>
      </c>
      <c r="F88">
        <f>IF(D88=1,A88,1000+A88)</f>
        <v/>
      </c>
      <c r="G88">
        <f>RANK(F88,$F$55:$F$92,1)</f>
        <v/>
      </c>
      <c r="H88">
        <f>$L$17</f>
        <v/>
      </c>
    </row>
    <row r="89">
      <c r="A89" t="n">
        <v>35</v>
      </c>
      <c r="B89">
        <f>'Exposure analysis'!A7</f>
        <v/>
      </c>
      <c r="C89" t="inlineStr">
        <is>
          <t>asset_rto_unmet</t>
        </is>
      </c>
      <c r="D89">
        <f>IF(B89="",0,IF(AND(Resilience!$B$15=1,ISNUMBER('Exposure analysis'!K7)),IF('Exposure analysis'!K7&gt;0,1,0),0))</f>
        <v/>
      </c>
      <c r="E89">
        <f>IF(D89=1,SUBSTITUTE($K$16,"{asset}",B89),"")</f>
        <v/>
      </c>
      <c r="F89">
        <f>IF(D89=1,A89,1000+A89)</f>
        <v/>
      </c>
      <c r="G89">
        <f>RANK(F89,$F$55:$F$92,1)</f>
        <v/>
      </c>
      <c r="H89">
        <f>$L$16</f>
        <v/>
      </c>
    </row>
    <row r="90">
      <c r="A90" t="n">
        <v>36</v>
      </c>
      <c r="B90">
        <f>'Exposure analysis'!A7</f>
        <v/>
      </c>
      <c r="C90" t="inlineStr">
        <is>
          <t>asset_rpo_unmet</t>
        </is>
      </c>
      <c r="D90">
        <f>IF(B90="",0,IF(AND(Resilience!$B$15=1,ISNUMBER('Exposure analysis'!L7)),IF('Exposure analysis'!L7&gt;0,1,0),0))</f>
        <v/>
      </c>
      <c r="E90">
        <f>IF(D90=1,SUBSTITUTE($K$17,"{asset}",B90),"")</f>
        <v/>
      </c>
      <c r="F90">
        <f>IF(D90=1,A90,1000+A90)</f>
        <v/>
      </c>
      <c r="G90">
        <f>RANK(F90,$F$55:$F$92,1)</f>
        <v/>
      </c>
      <c r="H90">
        <f>$L$17</f>
        <v/>
      </c>
    </row>
    <row r="91">
      <c r="A91" t="n">
        <v>37</v>
      </c>
      <c r="B91">
        <f>'Exposure analysis'!A8</f>
        <v/>
      </c>
      <c r="C91" t="inlineStr">
        <is>
          <t>asset_rto_unmet</t>
        </is>
      </c>
      <c r="D91">
        <f>IF(B91="",0,IF(AND(Resilience!$B$15=1,ISNUMBER('Exposure analysis'!K8)),IF('Exposure analysis'!K8&gt;0,1,0),0))</f>
        <v/>
      </c>
      <c r="E91">
        <f>IF(D91=1,SUBSTITUTE($K$16,"{asset}",B91),"")</f>
        <v/>
      </c>
      <c r="F91">
        <f>IF(D91=1,A91,1000+A91)</f>
        <v/>
      </c>
      <c r="G91">
        <f>RANK(F91,$F$55:$F$92,1)</f>
        <v/>
      </c>
      <c r="H91">
        <f>$L$16</f>
        <v/>
      </c>
    </row>
    <row r="92">
      <c r="A92" t="n">
        <v>38</v>
      </c>
      <c r="B92">
        <f>'Exposure analysis'!A8</f>
        <v/>
      </c>
      <c r="C92" t="inlineStr">
        <is>
          <t>asset_rpo_unmet</t>
        </is>
      </c>
      <c r="D92">
        <f>IF(B92="",0,IF(AND(Resilience!$B$15=1,ISNUMBER('Exposure analysis'!L8)),IF('Exposure analysis'!L8&gt;0,1,0),0))</f>
        <v/>
      </c>
      <c r="E92">
        <f>IF(D92=1,SUBSTITUTE($K$17,"{asset}",B92),"")</f>
        <v/>
      </c>
      <c r="F92">
        <f>IF(D92=1,A92,1000+A92)</f>
        <v/>
      </c>
      <c r="G92">
        <f>RANK(F92,$F$55:$F$92,1)</f>
        <v/>
      </c>
      <c r="H92">
        <f>$L$17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60" customWidth="1" min="3" max="3"/>
    <col width="46" customWidth="1" min="4" max="4"/>
    <col width="10" customWidth="1" min="5" max="5"/>
  </cols>
  <sheetData>
    <row r="1">
      <c r="A1" s="4" t="inlineStr">
        <is>
          <t>Detection and prevention checklist by NIST CSF 2.0 function</t>
        </is>
      </c>
    </row>
    <row r="3">
      <c r="A3" s="11" t="inlineStr">
        <is>
          <t>Function</t>
        </is>
      </c>
      <c r="B3" s="11" t="inlineStr">
        <is>
          <t>Control category</t>
        </is>
      </c>
      <c r="C3" s="11" t="inlineStr">
        <is>
          <t>What to check</t>
        </is>
      </c>
      <c r="D3" s="11" t="inlineStr">
        <is>
          <t>CyphrQ tool page</t>
        </is>
      </c>
      <c r="E3" s="11" t="inlineStr">
        <is>
          <t>Done?</t>
        </is>
      </c>
    </row>
    <row r="4">
      <c r="A4" s="6" t="inlineStr">
        <is>
          <t>Identify</t>
        </is>
      </c>
      <c r="B4" s="6" t="inlineStr">
        <is>
          <t>Vulnerability management</t>
        </is>
      </c>
      <c r="C4" s="6" t="inlineStr">
        <is>
          <t>Every internet-facing system is scanned and critical findings are fixed within 14 days.</t>
        </is>
      </c>
      <c r="D4" t="inlineStr">
        <is>
          <t>https://cyphrq.com/pillars/tools-identify/</t>
        </is>
      </c>
      <c r="E4" s="7" t="n"/>
    </row>
    <row r="5">
      <c r="A5" s="6" t="inlineStr">
        <is>
          <t>Identify</t>
        </is>
      </c>
      <c r="B5" s="6" t="inlineStr">
        <is>
          <t>Penetration testing</t>
        </is>
      </c>
      <c r="C5" s="6" t="inlineStr">
        <is>
          <t>An external test was done in the last 12 months and the findings were closed.</t>
        </is>
      </c>
      <c r="D5" t="inlineStr">
        <is>
          <t>https://cyphrq.com/pillars/tools-identify/</t>
        </is>
      </c>
      <c r="E5" s="7" t="n"/>
    </row>
    <row r="6">
      <c r="A6" s="6" t="inlineStr">
        <is>
          <t>Identify</t>
        </is>
      </c>
      <c r="B6" s="6" t="inlineStr">
        <is>
          <t>Threat intelligence</t>
        </is>
      </c>
      <c r="C6" s="6" t="inlineStr">
        <is>
          <t>You follow alerts for your sector and the known-exploited vulnerability list.</t>
        </is>
      </c>
      <c r="D6" t="inlineStr">
        <is>
          <t>https://cyphrq.com/pillars/tools-identify/</t>
        </is>
      </c>
      <c r="E6" s="7" t="n"/>
    </row>
    <row r="7">
      <c r="A7" s="6" t="inlineStr">
        <is>
          <t>Identify</t>
        </is>
      </c>
      <c r="B7" s="6" t="inlineStr">
        <is>
          <t>Cloud posture (CSPM/CNAPP)</t>
        </is>
      </c>
      <c r="C7" s="6" t="inlineStr">
        <is>
          <t>Cloud accounts are checked for open storage and risky permissions.</t>
        </is>
      </c>
      <c r="D7" t="inlineStr">
        <is>
          <t>https://cyphrq.com/pillars/tools-identify/</t>
        </is>
      </c>
      <c r="E7" s="7" t="n"/>
    </row>
    <row r="8">
      <c r="A8" s="6" t="inlineStr">
        <is>
          <t>Protect</t>
        </is>
      </c>
      <c r="B8" s="6" t="inlineStr">
        <is>
          <t>Identity and MFA</t>
        </is>
      </c>
      <c r="C8" s="6" t="inlineStr">
        <is>
          <t>MFA covers remote access, privileged accounts and email.</t>
        </is>
      </c>
      <c r="D8" t="inlineStr">
        <is>
          <t>https://cyphrq.com/pillars/tools-protect/</t>
        </is>
      </c>
      <c r="E8" s="7" t="n"/>
    </row>
    <row r="9">
      <c r="A9" s="6" t="inlineStr">
        <is>
          <t>Protect</t>
        </is>
      </c>
      <c r="B9" s="6" t="inlineStr">
        <is>
          <t>Privileged access (PAM)</t>
        </is>
      </c>
      <c r="C9" s="6" t="inlineStr">
        <is>
          <t>Admin access is limited, approved and recorded.</t>
        </is>
      </c>
      <c r="D9" t="inlineStr">
        <is>
          <t>https://cyphrq.com/pillars/tools-protect/</t>
        </is>
      </c>
      <c r="E9" s="7" t="n"/>
    </row>
    <row r="10">
      <c r="A10" s="6" t="inlineStr">
        <is>
          <t>Protect</t>
        </is>
      </c>
      <c r="B10" s="6" t="inlineStr">
        <is>
          <t>Network access (ZTNA/NAC)</t>
        </is>
      </c>
      <c r="C10" s="6" t="inlineStr">
        <is>
          <t>Unknown devices cannot reach internal systems.</t>
        </is>
      </c>
      <c r="D10" t="inlineStr">
        <is>
          <t>https://cyphrq.com/pillars/tools-protect/</t>
        </is>
      </c>
      <c r="E10" s="7" t="n"/>
    </row>
    <row r="11">
      <c r="A11" s="6" t="inlineStr">
        <is>
          <t>Protect</t>
        </is>
      </c>
      <c r="B11" s="6" t="inlineStr">
        <is>
          <t>Email security</t>
        </is>
      </c>
      <c r="C11" s="6" t="inlineStr">
        <is>
          <t>Phishing and malicious attachments are filtered before they reach staff.</t>
        </is>
      </c>
      <c r="D11" t="inlineStr">
        <is>
          <t>https://cyphrq.com/pillars/tools-protect/</t>
        </is>
      </c>
      <c r="E11" s="7" t="n"/>
    </row>
    <row r="12">
      <c r="A12" s="6" t="inlineStr">
        <is>
          <t>Protect</t>
        </is>
      </c>
      <c r="B12" s="6" t="inlineStr">
        <is>
          <t>Data protection (encryption, DLP)</t>
        </is>
      </c>
      <c r="C12" s="6" t="inlineStr">
        <is>
          <t>Sensitive data is encrypted and bulk exports are controlled.</t>
        </is>
      </c>
      <c r="D12" t="inlineStr">
        <is>
          <t>https://cyphrq.com/pillars/tools-protect/</t>
        </is>
      </c>
      <c r="E12" s="7" t="n"/>
    </row>
    <row r="13">
      <c r="A13" s="6" t="inlineStr">
        <is>
          <t>Protect</t>
        </is>
      </c>
      <c r="B13" s="6" t="inlineStr">
        <is>
          <t>Phishing awareness training</t>
        </is>
      </c>
      <c r="C13" s="6" t="inlineStr">
        <is>
          <t>All staff are trained at least once a year.</t>
        </is>
      </c>
      <c r="D13" t="inlineStr">
        <is>
          <t>https://cyphrq.com/pillars/awareness/</t>
        </is>
      </c>
      <c r="E13" s="7" t="n"/>
    </row>
    <row r="14">
      <c r="A14" s="6" t="inlineStr">
        <is>
          <t>Detect</t>
        </is>
      </c>
      <c r="B14" s="6" t="inlineStr">
        <is>
          <t>Endpoint detection (EDR/XDR)</t>
        </is>
      </c>
      <c r="C14" s="6" t="inlineStr">
        <is>
          <t>EDR runs on every workstation and server.</t>
        </is>
      </c>
      <c r="D14" t="inlineStr">
        <is>
          <t>https://cyphrq.com/pillars/tools-detect/</t>
        </is>
      </c>
      <c r="E14" s="7" t="n"/>
    </row>
    <row r="15">
      <c r="A15" s="6" t="inlineStr">
        <is>
          <t>Detect</t>
        </is>
      </c>
      <c r="B15" s="6" t="inlineStr">
        <is>
          <t>Log monitoring (SIEM)</t>
        </is>
      </c>
      <c r="C15" s="6" t="inlineStr">
        <is>
          <t>Logs from identity, email, endpoints and cloud are collected and alerted on.</t>
        </is>
      </c>
      <c r="D15" t="inlineStr">
        <is>
          <t>https://cyphrq.com/pillars/tools-detect/</t>
        </is>
      </c>
      <c r="E15" s="7" t="n"/>
    </row>
    <row r="16">
      <c r="A16" s="6" t="inlineStr">
        <is>
          <t>Detect</t>
        </is>
      </c>
      <c r="B16" s="6" t="inlineStr">
        <is>
          <t>24x7 monitoring (MDR)</t>
        </is>
      </c>
      <c r="C16" s="6" t="inlineStr">
        <is>
          <t>Someone responds to alerts at night and at weekends.</t>
        </is>
      </c>
      <c r="D16" t="inlineStr">
        <is>
          <t>https://cyphrq.com/pillars/tools-detect/</t>
        </is>
      </c>
      <c r="E16" s="7" t="n"/>
    </row>
    <row r="17">
      <c r="A17" s="6" t="inlineStr">
        <is>
          <t>Respond</t>
        </is>
      </c>
      <c r="B17" s="6" t="inlineStr">
        <is>
          <t>Incident response plan</t>
        </is>
      </c>
      <c r="C17" s="6" t="inlineStr">
        <is>
          <t>A plan exists with named roles and was rehearsed in the last 12 months.</t>
        </is>
      </c>
      <c r="D17" t="inlineStr">
        <is>
          <t>https://cyphrq.com/pillars/tools-respond/</t>
        </is>
      </c>
      <c r="E17" s="7" t="n"/>
    </row>
    <row r="18">
      <c r="A18" s="6" t="inlineStr">
        <is>
          <t>Respond</t>
        </is>
      </c>
      <c r="B18" s="6" t="inlineStr">
        <is>
          <t>Automation and managed response (SOAR/MDR)</t>
        </is>
      </c>
      <c r="C18" s="6" t="inlineStr">
        <is>
          <t>Containment steps such as isolating a device are quick and rehearsed.</t>
        </is>
      </c>
      <c r="D18" t="inlineStr">
        <is>
          <t>https://cyphrq.com/pillars/tools-respond/</t>
        </is>
      </c>
      <c r="E18" s="7" t="n"/>
    </row>
    <row r="19">
      <c r="A19" s="6" t="inlineStr">
        <is>
          <t>Respond</t>
        </is>
      </c>
      <c r="B19" s="6" t="inlineStr">
        <is>
          <t>Malware analysis and forensics</t>
        </is>
      </c>
      <c r="C19" s="6" t="inlineStr">
        <is>
          <t>You know who will investigate and preserve evidence.</t>
        </is>
      </c>
      <c r="D19" t="inlineStr">
        <is>
          <t>https://cyphrq.com/pillars/tools-respond/</t>
        </is>
      </c>
      <c r="E19" s="7" t="n"/>
    </row>
    <row r="20">
      <c r="A20" s="6" t="inlineStr">
        <is>
          <t>Recover</t>
        </is>
      </c>
      <c r="B20" s="6" t="inlineStr">
        <is>
          <t>Immutable or offline backups</t>
        </is>
      </c>
      <c r="C20" s="6" t="inlineStr">
        <is>
          <t>Backups of critical systems cannot be changed or deleted from the main network.</t>
        </is>
      </c>
      <c r="D20" t="inlineStr">
        <is>
          <t>https://cyphrq.com/pillars/tools-respond/</t>
        </is>
      </c>
      <c r="E20" s="7" t="n"/>
    </row>
    <row r="21">
      <c r="A21" s="6" t="inlineStr">
        <is>
          <t>Recover</t>
        </is>
      </c>
      <c r="B21" s="6" t="inlineStr">
        <is>
          <t>MFA on backup access</t>
        </is>
      </c>
      <c r="C21" s="6" t="inlineStr">
        <is>
          <t>Logging in to the backup system needs MFA.</t>
        </is>
      </c>
      <c r="D21" t="inlineStr">
        <is>
          <t>https://cyphrq.com/pillars/tools-respond/</t>
        </is>
      </c>
      <c r="E21" s="7" t="n"/>
    </row>
    <row r="22">
      <c r="A22" s="6" t="inlineStr">
        <is>
          <t>Recover</t>
        </is>
      </c>
      <c r="B22" s="6" t="inlineStr">
        <is>
          <t>Restore test</t>
        </is>
      </c>
      <c r="C22" s="6" t="inlineStr">
        <is>
          <t>A full restore was tested in the last 12 months and the time was recorded.</t>
        </is>
      </c>
      <c r="D22" t="inlineStr">
        <is>
          <t>https://cyphrq.com/pillars/tools-respond/</t>
        </is>
      </c>
      <c r="E22" s="7" t="n"/>
    </row>
  </sheetData>
  <dataValidations count="1">
    <dataValidation sqref="E4:E22" showErrorMessage="1" showInputMessage="1" allowBlank="1" type="list">
      <formula1>"Yes,No"</formula1>
    </dataValidation>
  </dataValidations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  <col width="80" customWidth="1" min="3" max="3"/>
  </cols>
  <sheetData>
    <row r="1">
      <c r="A1" s="11" t="inlineStr">
        <is>
          <t>Source</t>
        </is>
      </c>
      <c r="B1" s="11" t="inlineStr">
        <is>
          <t>Link</t>
        </is>
      </c>
      <c r="C1" s="11" t="inlineStr">
        <is>
          <t>What we use it for</t>
        </is>
      </c>
    </row>
    <row r="2">
      <c r="A2" s="6" t="inlineStr">
        <is>
          <t>Cyentia Institute, IRIS 2025</t>
        </is>
      </c>
      <c r="B2" t="inlineStr">
        <is>
          <t>https://www.cyentia.com/wp-content/uploads/2026/03/IRIS-2025.pdf</t>
        </is>
      </c>
      <c r="C2" s="6" t="inlineStr">
        <is>
          <t>Chance of an incident (Figures 6 and 8) and loss per incident by revenue (Table 1); CISA-sponsored, 2008 to 2024 loss data.</t>
        </is>
      </c>
    </row>
    <row r="3">
      <c r="A3" s="6" t="inlineStr">
        <is>
          <t>Verizon, Data Breach Investigations Report 2026</t>
        </is>
      </c>
      <c r="B3" t="inlineStr">
        <is>
          <t>https://www.verizon.com/business/resources/Te3/reports/2026-dbir-data-breach-investigations-report.pdf</t>
        </is>
      </c>
      <c r="C3" s="6" t="inlineStr">
        <is>
          <t>Ransomware in 48% of breaches (up from 44%); median ransom paid $139,875 (prior year revised to $150,000); 69% of victims did not pay.</t>
        </is>
      </c>
    </row>
    <row r="4">
      <c r="A4" s="6" t="inlineStr">
        <is>
          <t>NIST IR 8286r1, Integrating Cybersecurity and Enterprise Risk Management</t>
        </is>
      </c>
      <c r="B4" t="inlineStr">
        <is>
          <t>https://nvlpubs.nist.gov/nistpubs/ir/2025/NIST.IR.8286r1.pdf</t>
        </is>
      </c>
      <c r="C4" s="6" t="inlineStr">
        <is>
          <t>Exposure as likelihood times impact, with low, most likely and high estimates.</t>
        </is>
      </c>
    </row>
    <row r="5">
      <c r="A5" s="6" t="inlineStr">
        <is>
          <t>NIST IR 8286A (draft), Identifying and Estimating Cybersecurity Risk</t>
        </is>
      </c>
      <c r="B5" t="inlineStr">
        <is>
          <t>https://nvlpubs.nist.gov/nistpubs/ir/2020/NIST.IR.8286A-draft.pdf</t>
        </is>
      </c>
      <c r="C5" s="6" t="inlineStr">
        <is>
          <t>Three-point estimates; the PERT mean (low + 4 x likely + high) / 6.</t>
        </is>
      </c>
    </row>
    <row r="6">
      <c r="A6" s="6" t="inlineStr">
        <is>
          <t>Open FAIR, The Open Group</t>
        </is>
      </c>
      <c r="C6" s="6" t="inlineStr">
        <is>
          <t>Risk as loss event frequency times loss magnitude.</t>
        </is>
      </c>
    </row>
    <row r="7">
      <c r="A7" s="6" t="inlineStr">
        <is>
          <t>Tokio Marine HCC cyber application (2026)</t>
        </is>
      </c>
      <c r="B7" t="inlineStr">
        <is>
          <t>https://www.tmhcc.com/en-us/-/media/project/tokio-marine/tmhcc-us/documents/cplg_teorna-062026.pdf</t>
        </is>
      </c>
      <c r="C7" s="6" t="inlineStr">
        <is>
          <t>The control questions mirror what a cyber insurer asks.</t>
        </is>
      </c>
    </row>
    <row r="9">
      <c r="A9" s="6" t="inlineStr">
        <is>
          <t>Multipliers for each No answer, and the low case at 25% of the published median, are our assumptions. They are not insurer pricing. Base rates are averages from US-heavy data; override them with your own figures.</t>
        </is>
      </c>
    </row>
    <row r="11">
      <c r="A11" t="inlineStr">
        <is>
          <t>Estimates for planning and insurance conversations. Not insurance, legal or financial advice.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7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2026-10-26T23:43:15Z</dcterms:created>
  <dcterms:modified xmlns:dcterms="http://purl.org/dc/terms/" xmlns:xsi="http://www.w3.org/2001/XMLSchema-instance" xsi:type="dcterms:W3CDTF">2026-10-26T23:43:15Z</dcterms:modified>
</cp:coreProperties>
</file>